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C93A" lockStructure="1"/>
  <bookViews>
    <workbookView xWindow="-15" yWindow="-15" windowWidth="20295" windowHeight="12270"/>
  </bookViews>
  <sheets>
    <sheet name="概要と通り" sheetId="5" r:id="rId1"/>
    <sheet name="重心" sheetId="2" r:id="rId2"/>
    <sheet name="剛性率（1F）" sheetId="6" r:id="rId3"/>
    <sheet name="剛性率(2F)" sheetId="4" r:id="rId4"/>
    <sheet name="精算法シート" sheetId="7" r:id="rId5"/>
  </sheets>
  <definedNames>
    <definedName name="Ⅰ">精算法シート!#REF!</definedName>
    <definedName name="Ⅱ">精算法シート!#REF!</definedName>
    <definedName name="Ⅲ">精算法シート!#REF!</definedName>
    <definedName name="_xlnm.Print_Area" localSheetId="0">概要と通り!$A$1:$K$59</definedName>
    <definedName name="_xlnm.Print_Area" localSheetId="3">'剛性率(2F)'!$A$1:$AG$66</definedName>
    <definedName name="_xlnm.Print_Area" localSheetId="1">重心!$A$1:$M$64</definedName>
    <definedName name="_xlnm.Print_Area" localSheetId="4">精算法シート!$A$1:$J$61</definedName>
  </definedNames>
  <calcPr calcId="145621"/>
</workbook>
</file>

<file path=xl/calcChain.xml><?xml version="1.0" encoding="utf-8"?>
<calcChain xmlns="http://schemas.openxmlformats.org/spreadsheetml/2006/main">
  <c r="L12" i="5" l="1"/>
  <c r="G10" i="7" l="1"/>
  <c r="G14" i="7"/>
  <c r="G18" i="2" l="1"/>
  <c r="I24" i="2"/>
  <c r="K24" i="2"/>
  <c r="J29" i="5" l="1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D59" i="5" l="1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F57" i="7" l="1"/>
  <c r="F56" i="7"/>
  <c r="I38" i="2" l="1"/>
  <c r="H38" i="2"/>
  <c r="K38" i="2" s="1"/>
  <c r="G38" i="2"/>
  <c r="J38" i="2" s="1"/>
  <c r="I37" i="2"/>
  <c r="H37" i="2"/>
  <c r="K37" i="2" s="1"/>
  <c r="G37" i="2"/>
  <c r="J37" i="2" s="1"/>
  <c r="I36" i="2"/>
  <c r="H36" i="2"/>
  <c r="K36" i="2" s="1"/>
  <c r="G36" i="2"/>
  <c r="J36" i="2" s="1"/>
  <c r="I35" i="2"/>
  <c r="H35" i="2"/>
  <c r="K35" i="2" s="1"/>
  <c r="G35" i="2"/>
  <c r="J35" i="2" s="1"/>
  <c r="I34" i="2"/>
  <c r="H34" i="2"/>
  <c r="K34" i="2" s="1"/>
  <c r="G34" i="2"/>
  <c r="J34" i="2" s="1"/>
  <c r="I33" i="2"/>
  <c r="H33" i="2"/>
  <c r="K33" i="2" s="1"/>
  <c r="G33" i="2"/>
  <c r="J33" i="2" s="1"/>
  <c r="I32" i="2"/>
  <c r="H32" i="2"/>
  <c r="K32" i="2" s="1"/>
  <c r="K39" i="2" s="1"/>
  <c r="G32" i="2"/>
  <c r="J32" i="2" s="1"/>
  <c r="I31" i="2"/>
  <c r="H31" i="2"/>
  <c r="K31" i="2" s="1"/>
  <c r="G31" i="2"/>
  <c r="J31" i="2" s="1"/>
  <c r="I23" i="2"/>
  <c r="H23" i="2"/>
  <c r="K23" i="2" s="1"/>
  <c r="G23" i="2"/>
  <c r="J23" i="2" s="1"/>
  <c r="I22" i="2"/>
  <c r="H22" i="2"/>
  <c r="K22" i="2" s="1"/>
  <c r="G22" i="2"/>
  <c r="J22" i="2" s="1"/>
  <c r="I21" i="2"/>
  <c r="H21" i="2"/>
  <c r="K21" i="2" s="1"/>
  <c r="G21" i="2"/>
  <c r="J21" i="2" s="1"/>
  <c r="I20" i="2"/>
  <c r="H20" i="2"/>
  <c r="K20" i="2" s="1"/>
  <c r="G20" i="2"/>
  <c r="J20" i="2" s="1"/>
  <c r="I19" i="2"/>
  <c r="H19" i="2"/>
  <c r="K19" i="2" s="1"/>
  <c r="G19" i="2"/>
  <c r="J19" i="2" s="1"/>
  <c r="I18" i="2"/>
  <c r="H18" i="2"/>
  <c r="K18" i="2" s="1"/>
  <c r="J18" i="2"/>
  <c r="J24" i="2" s="1"/>
  <c r="I17" i="2"/>
  <c r="H17" i="2"/>
  <c r="K17" i="2" s="1"/>
  <c r="G17" i="2"/>
  <c r="J17" i="2" s="1"/>
  <c r="I16" i="2"/>
  <c r="H16" i="2"/>
  <c r="K16" i="2" s="1"/>
  <c r="G16" i="2"/>
  <c r="J16" i="2" s="1"/>
  <c r="I15" i="2"/>
  <c r="H15" i="2"/>
  <c r="K15" i="2" s="1"/>
  <c r="G15" i="2"/>
  <c r="J15" i="2" s="1"/>
  <c r="I14" i="2"/>
  <c r="H14" i="2"/>
  <c r="K14" i="2" s="1"/>
  <c r="G14" i="2"/>
  <c r="J14" i="2" s="1"/>
  <c r="I13" i="2"/>
  <c r="H13" i="2"/>
  <c r="K13" i="2" s="1"/>
  <c r="G13" i="2"/>
  <c r="J13" i="2" s="1"/>
  <c r="I12" i="2"/>
  <c r="H12" i="2"/>
  <c r="K12" i="2" s="1"/>
  <c r="G12" i="2"/>
  <c r="J12" i="2" s="1"/>
  <c r="I11" i="2"/>
  <c r="H11" i="2"/>
  <c r="K11" i="2" s="1"/>
  <c r="G11" i="2"/>
  <c r="J11" i="2" s="1"/>
  <c r="I39" i="2" l="1"/>
  <c r="J39" i="2"/>
  <c r="E13" i="5"/>
  <c r="G10" i="2" l="1"/>
  <c r="L27" i="7" l="1"/>
  <c r="AD59" i="6" l="1"/>
  <c r="AD58" i="6"/>
  <c r="AD57" i="6"/>
  <c r="AD56" i="6"/>
  <c r="AD55" i="6"/>
  <c r="AD54" i="6"/>
  <c r="AD53" i="6"/>
  <c r="AD52" i="6"/>
  <c r="AD51" i="6"/>
  <c r="AD50" i="6"/>
  <c r="AD49" i="6"/>
  <c r="AD48" i="6"/>
  <c r="AD47" i="6"/>
  <c r="AD46" i="6"/>
  <c r="AD45" i="6"/>
  <c r="AD44" i="6"/>
  <c r="AD43" i="6"/>
  <c r="AD42" i="6"/>
  <c r="AD41" i="6"/>
  <c r="AD40" i="6"/>
  <c r="AD39" i="6"/>
  <c r="AD38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5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5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5" i="4"/>
  <c r="M6" i="4"/>
  <c r="M7" i="4"/>
  <c r="M8" i="4"/>
  <c r="M9" i="4"/>
  <c r="M10" i="4"/>
  <c r="M12" i="4"/>
  <c r="M11" i="4"/>
  <c r="AG25" i="6"/>
  <c r="AC25" i="6"/>
  <c r="AA25" i="6"/>
  <c r="Y25" i="6"/>
  <c r="V25" i="6"/>
  <c r="AC24" i="6"/>
  <c r="AA24" i="6"/>
  <c r="Y24" i="6"/>
  <c r="V24" i="6"/>
  <c r="AC23" i="6"/>
  <c r="AA23" i="6"/>
  <c r="Y23" i="6"/>
  <c r="V23" i="6"/>
  <c r="AC22" i="6"/>
  <c r="AA22" i="6"/>
  <c r="Y22" i="6"/>
  <c r="V22" i="6"/>
  <c r="V15" i="6"/>
  <c r="Y15" i="6"/>
  <c r="AA15" i="6"/>
  <c r="AC15" i="6"/>
  <c r="V16" i="6"/>
  <c r="Y16" i="6"/>
  <c r="AA16" i="6"/>
  <c r="AC16" i="6"/>
  <c r="V17" i="6"/>
  <c r="Y17" i="6"/>
  <c r="AA17" i="6"/>
  <c r="AC17" i="6"/>
  <c r="V18" i="6"/>
  <c r="Y18" i="6"/>
  <c r="AA18" i="6"/>
  <c r="AC18" i="6"/>
  <c r="V19" i="6"/>
  <c r="Y19" i="6"/>
  <c r="AA19" i="6"/>
  <c r="AC19" i="6"/>
  <c r="V20" i="6"/>
  <c r="Y20" i="6"/>
  <c r="AA20" i="6"/>
  <c r="AC20" i="6"/>
  <c r="V21" i="6"/>
  <c r="Y21" i="6"/>
  <c r="AA21" i="6"/>
  <c r="AC21" i="6"/>
  <c r="V26" i="6"/>
  <c r="Y26" i="6"/>
  <c r="AA26" i="6"/>
  <c r="AC26" i="6"/>
  <c r="AF26" i="6"/>
  <c r="AE26" i="6"/>
  <c r="V27" i="6"/>
  <c r="Y27" i="6"/>
  <c r="AA27" i="6"/>
  <c r="AC27" i="6"/>
  <c r="V28" i="6"/>
  <c r="Y28" i="6"/>
  <c r="AA28" i="6"/>
  <c r="AC28" i="6"/>
  <c r="V29" i="6"/>
  <c r="Y29" i="6"/>
  <c r="AA29" i="6"/>
  <c r="AC29" i="6"/>
  <c r="V30" i="6"/>
  <c r="Y30" i="6"/>
  <c r="AA30" i="6"/>
  <c r="AC30" i="6"/>
  <c r="V31" i="6"/>
  <c r="Y31" i="6"/>
  <c r="AA31" i="6"/>
  <c r="AC31" i="6"/>
  <c r="V32" i="6"/>
  <c r="Y32" i="6"/>
  <c r="AA32" i="6"/>
  <c r="AC32" i="6"/>
  <c r="I9" i="2"/>
  <c r="M60" i="4" l="1"/>
  <c r="M60" i="6"/>
  <c r="AE25" i="6"/>
  <c r="AF25" i="6"/>
  <c r="AG26" i="6"/>
  <c r="H10" i="2" l="1"/>
  <c r="E15" i="5" l="1"/>
  <c r="E12" i="5"/>
  <c r="E14" i="5"/>
  <c r="E16" i="5"/>
  <c r="C3" i="2"/>
  <c r="C4" i="2"/>
  <c r="I2" i="7"/>
  <c r="L56" i="7"/>
  <c r="G17" i="7"/>
  <c r="G16" i="7"/>
  <c r="G15" i="7"/>
  <c r="G13" i="7"/>
  <c r="G12" i="7"/>
  <c r="G11" i="7"/>
  <c r="L2" i="7"/>
  <c r="I1" i="7"/>
  <c r="A2" i="7" l="1"/>
  <c r="I8" i="7"/>
  <c r="I7" i="7"/>
  <c r="A29" i="2"/>
  <c r="L4" i="2"/>
  <c r="L3" i="2"/>
  <c r="I10" i="7"/>
  <c r="I12" i="7" s="1"/>
  <c r="I16" i="7" s="1"/>
  <c r="C7" i="7"/>
  <c r="D25" i="5"/>
  <c r="AE52" i="4"/>
  <c r="AE49" i="4"/>
  <c r="AE48" i="4"/>
  <c r="AE46" i="4"/>
  <c r="AE45" i="4"/>
  <c r="AE44" i="4"/>
  <c r="AE40" i="4"/>
  <c r="AE38" i="4"/>
  <c r="AE36" i="4"/>
  <c r="AG33" i="4"/>
  <c r="AE31" i="4"/>
  <c r="AE30" i="4"/>
  <c r="AE29" i="4"/>
  <c r="AE23" i="4"/>
  <c r="AG22" i="4"/>
  <c r="N52" i="4"/>
  <c r="N46" i="4"/>
  <c r="N34" i="4"/>
  <c r="N32" i="4"/>
  <c r="P31" i="4"/>
  <c r="N30" i="4"/>
  <c r="N29" i="4"/>
  <c r="N28" i="4"/>
  <c r="N26" i="4"/>
  <c r="P20" i="4"/>
  <c r="P19" i="4"/>
  <c r="P14" i="4"/>
  <c r="P13" i="4"/>
  <c r="AF56" i="6"/>
  <c r="AF54" i="6"/>
  <c r="AG53" i="6"/>
  <c r="AF52" i="6"/>
  <c r="AG51" i="6"/>
  <c r="AF48" i="6"/>
  <c r="AG46" i="6"/>
  <c r="AG45" i="6"/>
  <c r="AF44" i="6"/>
  <c r="AF42" i="6"/>
  <c r="AF38" i="6"/>
  <c r="AG37" i="6"/>
  <c r="AF36" i="6"/>
  <c r="AE34" i="6"/>
  <c r="AE6" i="6"/>
  <c r="AE5" i="6"/>
  <c r="P58" i="6"/>
  <c r="O56" i="6"/>
  <c r="P54" i="6"/>
  <c r="N53" i="6"/>
  <c r="O52" i="6"/>
  <c r="P50" i="6"/>
  <c r="N48" i="6"/>
  <c r="P46" i="6"/>
  <c r="N45" i="6"/>
  <c r="P44" i="6"/>
  <c r="P42" i="6"/>
  <c r="N41" i="6"/>
  <c r="O39" i="6"/>
  <c r="N37" i="6"/>
  <c r="N36" i="6"/>
  <c r="P35" i="6"/>
  <c r="P34" i="6"/>
  <c r="P33" i="6"/>
  <c r="N32" i="6"/>
  <c r="P31" i="6"/>
  <c r="P30" i="6"/>
  <c r="O24" i="6"/>
  <c r="AC59" i="4"/>
  <c r="AA59" i="4"/>
  <c r="Y59" i="4"/>
  <c r="V59" i="4"/>
  <c r="L59" i="4"/>
  <c r="J59" i="4"/>
  <c r="H59" i="4"/>
  <c r="E59" i="4"/>
  <c r="AC58" i="4"/>
  <c r="AA58" i="4"/>
  <c r="Y58" i="4"/>
  <c r="V58" i="4"/>
  <c r="L58" i="4"/>
  <c r="J58" i="4"/>
  <c r="H58" i="4"/>
  <c r="E58" i="4"/>
  <c r="AC57" i="4"/>
  <c r="AA57" i="4"/>
  <c r="Y57" i="4"/>
  <c r="V57" i="4"/>
  <c r="L57" i="4"/>
  <c r="J57" i="4"/>
  <c r="H57" i="4"/>
  <c r="E57" i="4"/>
  <c r="AC56" i="4"/>
  <c r="AA56" i="4"/>
  <c r="Y56" i="4"/>
  <c r="V56" i="4"/>
  <c r="L56" i="4"/>
  <c r="J56" i="4"/>
  <c r="H56" i="4"/>
  <c r="E56" i="4"/>
  <c r="AC55" i="4"/>
  <c r="AA55" i="4"/>
  <c r="Y55" i="4"/>
  <c r="V55" i="4"/>
  <c r="L55" i="4"/>
  <c r="J55" i="4"/>
  <c r="H55" i="4"/>
  <c r="E55" i="4"/>
  <c r="AC54" i="4"/>
  <c r="AA54" i="4"/>
  <c r="Y54" i="4"/>
  <c r="V54" i="4"/>
  <c r="L54" i="4"/>
  <c r="J54" i="4"/>
  <c r="H54" i="4"/>
  <c r="E54" i="4"/>
  <c r="AC53" i="4"/>
  <c r="AA53" i="4"/>
  <c r="Y53" i="4"/>
  <c r="V53" i="4"/>
  <c r="L53" i="4"/>
  <c r="J53" i="4"/>
  <c r="H53" i="4"/>
  <c r="E53" i="4"/>
  <c r="AC52" i="4"/>
  <c r="AA52" i="4"/>
  <c r="Y52" i="4"/>
  <c r="V52" i="4"/>
  <c r="L52" i="4"/>
  <c r="J52" i="4"/>
  <c r="H52" i="4"/>
  <c r="E52" i="4"/>
  <c r="AE51" i="4"/>
  <c r="AC51" i="4"/>
  <c r="AA51" i="4"/>
  <c r="Y51" i="4"/>
  <c r="V51" i="4"/>
  <c r="L51" i="4"/>
  <c r="J51" i="4"/>
  <c r="H51" i="4"/>
  <c r="E51" i="4"/>
  <c r="AE50" i="4"/>
  <c r="AC50" i="4"/>
  <c r="AA50" i="4"/>
  <c r="Y50" i="4"/>
  <c r="V50" i="4"/>
  <c r="L50" i="4"/>
  <c r="J50" i="4"/>
  <c r="H50" i="4"/>
  <c r="E50" i="4"/>
  <c r="AC49" i="4"/>
  <c r="AA49" i="4"/>
  <c r="Y49" i="4"/>
  <c r="V49" i="4"/>
  <c r="L49" i="4"/>
  <c r="J49" i="4"/>
  <c r="H49" i="4"/>
  <c r="E49" i="4"/>
  <c r="AC48" i="4"/>
  <c r="AA48" i="4"/>
  <c r="Y48" i="4"/>
  <c r="V48" i="4"/>
  <c r="L48" i="4"/>
  <c r="J48" i="4"/>
  <c r="H48" i="4"/>
  <c r="E48" i="4"/>
  <c r="AC47" i="4"/>
  <c r="AA47" i="4"/>
  <c r="Y47" i="4"/>
  <c r="V47" i="4"/>
  <c r="L47" i="4"/>
  <c r="J47" i="4"/>
  <c r="H47" i="4"/>
  <c r="E47" i="4"/>
  <c r="AC46" i="4"/>
  <c r="AA46" i="4"/>
  <c r="Y46" i="4"/>
  <c r="V46" i="4"/>
  <c r="L46" i="4"/>
  <c r="J46" i="4"/>
  <c r="H46" i="4"/>
  <c r="E46" i="4"/>
  <c r="AC45" i="4"/>
  <c r="AA45" i="4"/>
  <c r="Y45" i="4"/>
  <c r="V45" i="4"/>
  <c r="L45" i="4"/>
  <c r="J45" i="4"/>
  <c r="H45" i="4"/>
  <c r="E45" i="4"/>
  <c r="AC44" i="4"/>
  <c r="AA44" i="4"/>
  <c r="Y44" i="4"/>
  <c r="V44" i="4"/>
  <c r="L44" i="4"/>
  <c r="J44" i="4"/>
  <c r="H44" i="4"/>
  <c r="E44" i="4"/>
  <c r="AC43" i="4"/>
  <c r="AA43" i="4"/>
  <c r="Y43" i="4"/>
  <c r="V43" i="4"/>
  <c r="N43" i="4"/>
  <c r="L43" i="4"/>
  <c r="J43" i="4"/>
  <c r="H43" i="4"/>
  <c r="E43" i="4"/>
  <c r="AE42" i="4"/>
  <c r="AC42" i="4"/>
  <c r="AA42" i="4"/>
  <c r="Y42" i="4"/>
  <c r="V42" i="4"/>
  <c r="N42" i="4"/>
  <c r="L42" i="4"/>
  <c r="J42" i="4"/>
  <c r="H42" i="4"/>
  <c r="E42" i="4"/>
  <c r="AC41" i="4"/>
  <c r="AA41" i="4"/>
  <c r="Y41" i="4"/>
  <c r="V41" i="4"/>
  <c r="L41" i="4"/>
  <c r="J41" i="4"/>
  <c r="H41" i="4"/>
  <c r="E41" i="4"/>
  <c r="AC40" i="4"/>
  <c r="AA40" i="4"/>
  <c r="Y40" i="4"/>
  <c r="V40" i="4"/>
  <c r="L40" i="4"/>
  <c r="J40" i="4"/>
  <c r="H40" i="4"/>
  <c r="E40" i="4"/>
  <c r="AC39" i="4"/>
  <c r="AA39" i="4"/>
  <c r="Y39" i="4"/>
  <c r="V39" i="4"/>
  <c r="L39" i="4"/>
  <c r="J39" i="4"/>
  <c r="H39" i="4"/>
  <c r="E39" i="4"/>
  <c r="AC38" i="4"/>
  <c r="AA38" i="4"/>
  <c r="Y38" i="4"/>
  <c r="V38" i="4"/>
  <c r="L38" i="4"/>
  <c r="J38" i="4"/>
  <c r="H38" i="4"/>
  <c r="E38" i="4"/>
  <c r="AC37" i="4"/>
  <c r="AA37" i="4"/>
  <c r="Y37" i="4"/>
  <c r="V37" i="4"/>
  <c r="L37" i="4"/>
  <c r="J37" i="4"/>
  <c r="H37" i="4"/>
  <c r="E37" i="4"/>
  <c r="AC36" i="4"/>
  <c r="AA36" i="4"/>
  <c r="Y36" i="4"/>
  <c r="V36" i="4"/>
  <c r="L36" i="4"/>
  <c r="J36" i="4"/>
  <c r="H36" i="4"/>
  <c r="E36" i="4"/>
  <c r="AE34" i="4"/>
  <c r="AG34" i="4"/>
  <c r="AC34" i="4"/>
  <c r="AA34" i="4"/>
  <c r="Y34" i="4"/>
  <c r="V34" i="4"/>
  <c r="P34" i="4"/>
  <c r="L34" i="4"/>
  <c r="J34" i="4"/>
  <c r="H34" i="4"/>
  <c r="E34" i="4"/>
  <c r="AE33" i="4"/>
  <c r="AC33" i="4"/>
  <c r="AA33" i="4"/>
  <c r="Y33" i="4"/>
  <c r="V33" i="4"/>
  <c r="N33" i="4"/>
  <c r="P33" i="4"/>
  <c r="L33" i="4"/>
  <c r="J33" i="4"/>
  <c r="H33" i="4"/>
  <c r="E33" i="4"/>
  <c r="AE32" i="4"/>
  <c r="AG32" i="4"/>
  <c r="AC32" i="4"/>
  <c r="AA32" i="4"/>
  <c r="Y32" i="4"/>
  <c r="V32" i="4"/>
  <c r="L32" i="4"/>
  <c r="J32" i="4"/>
  <c r="H32" i="4"/>
  <c r="E32" i="4"/>
  <c r="AG31" i="4"/>
  <c r="AC31" i="4"/>
  <c r="AA31" i="4"/>
  <c r="Y31" i="4"/>
  <c r="V31" i="4"/>
  <c r="N31" i="4"/>
  <c r="L31" i="4"/>
  <c r="J31" i="4"/>
  <c r="H31" i="4"/>
  <c r="E31" i="4"/>
  <c r="AC30" i="4"/>
  <c r="AA30" i="4"/>
  <c r="Y30" i="4"/>
  <c r="V30" i="4"/>
  <c r="L30" i="4"/>
  <c r="J30" i="4"/>
  <c r="H30" i="4"/>
  <c r="E30" i="4"/>
  <c r="AC29" i="4"/>
  <c r="AA29" i="4"/>
  <c r="Y29" i="4"/>
  <c r="V29" i="4"/>
  <c r="L29" i="4"/>
  <c r="J29" i="4"/>
  <c r="H29" i="4"/>
  <c r="E29" i="4"/>
  <c r="AC28" i="4"/>
  <c r="AA28" i="4"/>
  <c r="Y28" i="4"/>
  <c r="V28" i="4"/>
  <c r="L28" i="4"/>
  <c r="J28" i="4"/>
  <c r="H28" i="4"/>
  <c r="E28" i="4"/>
  <c r="AC27" i="4"/>
  <c r="AA27" i="4"/>
  <c r="Y27" i="4"/>
  <c r="V27" i="4"/>
  <c r="N27" i="4"/>
  <c r="P27" i="4"/>
  <c r="L27" i="4"/>
  <c r="J27" i="4"/>
  <c r="H27" i="4"/>
  <c r="E27" i="4"/>
  <c r="AC26" i="4"/>
  <c r="AA26" i="4"/>
  <c r="Y26" i="4"/>
  <c r="V26" i="4"/>
  <c r="P26" i="4"/>
  <c r="L26" i="4"/>
  <c r="J26" i="4"/>
  <c r="H26" i="4"/>
  <c r="E26" i="4"/>
  <c r="AC25" i="4"/>
  <c r="AA25" i="4"/>
  <c r="Y25" i="4"/>
  <c r="V25" i="4"/>
  <c r="L25" i="4"/>
  <c r="J25" i="4"/>
  <c r="H25" i="4"/>
  <c r="E25" i="4"/>
  <c r="AC24" i="4"/>
  <c r="AA24" i="4"/>
  <c r="Y24" i="4"/>
  <c r="V24" i="4"/>
  <c r="L24" i="4"/>
  <c r="J24" i="4"/>
  <c r="H24" i="4"/>
  <c r="E24" i="4"/>
  <c r="AG23" i="4"/>
  <c r="AC23" i="4"/>
  <c r="AA23" i="4"/>
  <c r="Y23" i="4"/>
  <c r="V23" i="4"/>
  <c r="L23" i="4"/>
  <c r="J23" i="4"/>
  <c r="H23" i="4"/>
  <c r="E23" i="4"/>
  <c r="AE22" i="4"/>
  <c r="AC22" i="4"/>
  <c r="AA22" i="4"/>
  <c r="Y22" i="4"/>
  <c r="V22" i="4"/>
  <c r="L22" i="4"/>
  <c r="J22" i="4"/>
  <c r="H22" i="4"/>
  <c r="E22" i="4"/>
  <c r="AC21" i="4"/>
  <c r="AA21" i="4"/>
  <c r="Y21" i="4"/>
  <c r="V21" i="4"/>
  <c r="L21" i="4"/>
  <c r="J21" i="4"/>
  <c r="H21" i="4"/>
  <c r="E21" i="4"/>
  <c r="AC20" i="4"/>
  <c r="AA20" i="4"/>
  <c r="Y20" i="4"/>
  <c r="V20" i="4"/>
  <c r="L20" i="4"/>
  <c r="J20" i="4"/>
  <c r="H20" i="4"/>
  <c r="E20" i="4"/>
  <c r="AC19" i="4"/>
  <c r="AA19" i="4"/>
  <c r="Y19" i="4"/>
  <c r="V19" i="4"/>
  <c r="L19" i="4"/>
  <c r="J19" i="4"/>
  <c r="H19" i="4"/>
  <c r="E19" i="4"/>
  <c r="AC18" i="4"/>
  <c r="AA18" i="4"/>
  <c r="Y18" i="4"/>
  <c r="V18" i="4"/>
  <c r="L18" i="4"/>
  <c r="J18" i="4"/>
  <c r="H18" i="4"/>
  <c r="E18" i="4"/>
  <c r="AC17" i="4"/>
  <c r="AA17" i="4"/>
  <c r="Y17" i="4"/>
  <c r="V17" i="4"/>
  <c r="L17" i="4"/>
  <c r="J17" i="4"/>
  <c r="H17" i="4"/>
  <c r="E17" i="4"/>
  <c r="AC16" i="4"/>
  <c r="AA16" i="4"/>
  <c r="Y16" i="4"/>
  <c r="V16" i="4"/>
  <c r="L16" i="4"/>
  <c r="J16" i="4"/>
  <c r="H16" i="4"/>
  <c r="E16" i="4"/>
  <c r="AC15" i="4"/>
  <c r="AA15" i="4"/>
  <c r="Y15" i="4"/>
  <c r="V15" i="4"/>
  <c r="L15" i="4"/>
  <c r="J15" i="4"/>
  <c r="H15" i="4"/>
  <c r="E15" i="4"/>
  <c r="AC14" i="4"/>
  <c r="AA14" i="4"/>
  <c r="Y14" i="4"/>
  <c r="V14" i="4"/>
  <c r="L14" i="4"/>
  <c r="J14" i="4"/>
  <c r="H14" i="4"/>
  <c r="E14" i="4"/>
  <c r="AC13" i="4"/>
  <c r="AA13" i="4"/>
  <c r="Y13" i="4"/>
  <c r="V13" i="4"/>
  <c r="L13" i="4"/>
  <c r="J13" i="4"/>
  <c r="H13" i="4"/>
  <c r="E13" i="4"/>
  <c r="AG12" i="4"/>
  <c r="AC12" i="4"/>
  <c r="AA12" i="4"/>
  <c r="Y12" i="4"/>
  <c r="V12" i="4"/>
  <c r="L12" i="4"/>
  <c r="J12" i="4"/>
  <c r="H12" i="4"/>
  <c r="E12" i="4"/>
  <c r="AG11" i="4"/>
  <c r="AC11" i="4"/>
  <c r="AA11" i="4"/>
  <c r="Y11" i="4"/>
  <c r="V11" i="4"/>
  <c r="L11" i="4"/>
  <c r="J11" i="4"/>
  <c r="H11" i="4"/>
  <c r="E11" i="4"/>
  <c r="AC10" i="4"/>
  <c r="AA10" i="4"/>
  <c r="Y10" i="4"/>
  <c r="V10" i="4"/>
  <c r="L10" i="4"/>
  <c r="J10" i="4"/>
  <c r="H10" i="4"/>
  <c r="E10" i="4"/>
  <c r="AC9" i="4"/>
  <c r="AA9" i="4"/>
  <c r="Y9" i="4"/>
  <c r="V9" i="4"/>
  <c r="L9" i="4"/>
  <c r="J9" i="4"/>
  <c r="H9" i="4"/>
  <c r="E9" i="4"/>
  <c r="AG35" i="4"/>
  <c r="AC35" i="4"/>
  <c r="AA35" i="4"/>
  <c r="Y35" i="4"/>
  <c r="V35" i="4"/>
  <c r="L35" i="4"/>
  <c r="J35" i="4"/>
  <c r="H35" i="4"/>
  <c r="E35" i="4"/>
  <c r="AG59" i="6"/>
  <c r="AC59" i="6"/>
  <c r="AA59" i="6"/>
  <c r="Y59" i="6"/>
  <c r="V59" i="6"/>
  <c r="O59" i="6"/>
  <c r="P59" i="6"/>
  <c r="L59" i="6"/>
  <c r="J59" i="6"/>
  <c r="H59" i="6"/>
  <c r="E59" i="6"/>
  <c r="AF58" i="6"/>
  <c r="AE58" i="6"/>
  <c r="AG58" i="6"/>
  <c r="AC58" i="6"/>
  <c r="AA58" i="6"/>
  <c r="Y58" i="6"/>
  <c r="V58" i="6"/>
  <c r="L58" i="6"/>
  <c r="J58" i="6"/>
  <c r="H58" i="6"/>
  <c r="E58" i="6"/>
  <c r="AG57" i="6"/>
  <c r="AC57" i="6"/>
  <c r="AA57" i="6"/>
  <c r="Y57" i="6"/>
  <c r="V57" i="6"/>
  <c r="N57" i="6"/>
  <c r="P57" i="6"/>
  <c r="L57" i="6"/>
  <c r="J57" i="6"/>
  <c r="H57" i="6"/>
  <c r="E57" i="6"/>
  <c r="AG56" i="6"/>
  <c r="AC56" i="6"/>
  <c r="AA56" i="6"/>
  <c r="Y56" i="6"/>
  <c r="V56" i="6"/>
  <c r="P56" i="6"/>
  <c r="L56" i="6"/>
  <c r="J56" i="6"/>
  <c r="H56" i="6"/>
  <c r="E56" i="6"/>
  <c r="AG55" i="6"/>
  <c r="AC55" i="6"/>
  <c r="AA55" i="6"/>
  <c r="Y55" i="6"/>
  <c r="V55" i="6"/>
  <c r="O55" i="6"/>
  <c r="P55" i="6"/>
  <c r="L55" i="6"/>
  <c r="J55" i="6"/>
  <c r="H55" i="6"/>
  <c r="E55" i="6"/>
  <c r="AC54" i="6"/>
  <c r="AA54" i="6"/>
  <c r="Y54" i="6"/>
  <c r="V54" i="6"/>
  <c r="L54" i="6"/>
  <c r="J54" i="6"/>
  <c r="H54" i="6"/>
  <c r="E54" i="6"/>
  <c r="AC53" i="6"/>
  <c r="AA53" i="6"/>
  <c r="Y53" i="6"/>
  <c r="V53" i="6"/>
  <c r="L53" i="6"/>
  <c r="J53" i="6"/>
  <c r="H53" i="6"/>
  <c r="E53" i="6"/>
  <c r="AC52" i="6"/>
  <c r="AA52" i="6"/>
  <c r="Y52" i="6"/>
  <c r="V52" i="6"/>
  <c r="L52" i="6"/>
  <c r="J52" i="6"/>
  <c r="H52" i="6"/>
  <c r="E52" i="6"/>
  <c r="AC51" i="6"/>
  <c r="AA51" i="6"/>
  <c r="Y51" i="6"/>
  <c r="V51" i="6"/>
  <c r="O51" i="6"/>
  <c r="P51" i="6"/>
  <c r="L51" i="6"/>
  <c r="J51" i="6"/>
  <c r="H51" i="6"/>
  <c r="E51" i="6"/>
  <c r="AF50" i="6"/>
  <c r="AE50" i="6"/>
  <c r="AG50" i="6"/>
  <c r="AC50" i="6"/>
  <c r="AA50" i="6"/>
  <c r="Y50" i="6"/>
  <c r="V50" i="6"/>
  <c r="L50" i="6"/>
  <c r="J50" i="6"/>
  <c r="H50" i="6"/>
  <c r="E50" i="6"/>
  <c r="AG49" i="6"/>
  <c r="AC49" i="6"/>
  <c r="AA49" i="6"/>
  <c r="Y49" i="6"/>
  <c r="V49" i="6"/>
  <c r="N49" i="6"/>
  <c r="P49" i="6"/>
  <c r="L49" i="6"/>
  <c r="J49" i="6"/>
  <c r="H49" i="6"/>
  <c r="E49" i="6"/>
  <c r="AC48" i="6"/>
  <c r="AA48" i="6"/>
  <c r="Y48" i="6"/>
  <c r="V48" i="6"/>
  <c r="O48" i="6"/>
  <c r="L48" i="6"/>
  <c r="J48" i="6"/>
  <c r="H48" i="6"/>
  <c r="E48" i="6"/>
  <c r="AG47" i="6"/>
  <c r="AC47" i="6"/>
  <c r="AA47" i="6"/>
  <c r="Y47" i="6"/>
  <c r="V47" i="6"/>
  <c r="O47" i="6"/>
  <c r="P47" i="6"/>
  <c r="L47" i="6"/>
  <c r="J47" i="6"/>
  <c r="H47" i="6"/>
  <c r="E47" i="6"/>
  <c r="AF46" i="6"/>
  <c r="AE46" i="6"/>
  <c r="AC46" i="6"/>
  <c r="AA46" i="6"/>
  <c r="Y46" i="6"/>
  <c r="V46" i="6"/>
  <c r="L46" i="6"/>
  <c r="J46" i="6"/>
  <c r="H46" i="6"/>
  <c r="E46" i="6"/>
  <c r="AC45" i="6"/>
  <c r="AA45" i="6"/>
  <c r="Y45" i="6"/>
  <c r="V45" i="6"/>
  <c r="L45" i="6"/>
  <c r="J45" i="6"/>
  <c r="H45" i="6"/>
  <c r="E45" i="6"/>
  <c r="AC44" i="6"/>
  <c r="AA44" i="6"/>
  <c r="Y44" i="6"/>
  <c r="V44" i="6"/>
  <c r="L44" i="6"/>
  <c r="J44" i="6"/>
  <c r="H44" i="6"/>
  <c r="E44" i="6"/>
  <c r="AG43" i="6"/>
  <c r="AC43" i="6"/>
  <c r="AA43" i="6"/>
  <c r="Y43" i="6"/>
  <c r="V43" i="6"/>
  <c r="O43" i="6"/>
  <c r="P43" i="6"/>
  <c r="L43" i="6"/>
  <c r="J43" i="6"/>
  <c r="H43" i="6"/>
  <c r="E43" i="6"/>
  <c r="AE42" i="6"/>
  <c r="AG42" i="6"/>
  <c r="AC42" i="6"/>
  <c r="AA42" i="6"/>
  <c r="Y42" i="6"/>
  <c r="V42" i="6"/>
  <c r="L42" i="6"/>
  <c r="J42" i="6"/>
  <c r="H42" i="6"/>
  <c r="E42" i="6"/>
  <c r="AG41" i="6"/>
  <c r="AC41" i="6"/>
  <c r="AA41" i="6"/>
  <c r="Y41" i="6"/>
  <c r="V41" i="6"/>
  <c r="P41" i="6"/>
  <c r="L41" i="6"/>
  <c r="J41" i="6"/>
  <c r="H41" i="6"/>
  <c r="E41" i="6"/>
  <c r="AF40" i="6"/>
  <c r="AG40" i="6"/>
  <c r="AC40" i="6"/>
  <c r="AA40" i="6"/>
  <c r="Y40" i="6"/>
  <c r="V40" i="6"/>
  <c r="O40" i="6"/>
  <c r="N40" i="6"/>
  <c r="P40" i="6"/>
  <c r="L40" i="6"/>
  <c r="J40" i="6"/>
  <c r="H40" i="6"/>
  <c r="E40" i="6"/>
  <c r="AG39" i="6"/>
  <c r="AC39" i="6"/>
  <c r="AA39" i="6"/>
  <c r="Y39" i="6"/>
  <c r="V39" i="6"/>
  <c r="P39" i="6"/>
  <c r="L39" i="6"/>
  <c r="J39" i="6"/>
  <c r="H39" i="6"/>
  <c r="E39" i="6"/>
  <c r="AE38" i="6"/>
  <c r="AC38" i="6"/>
  <c r="AA38" i="6"/>
  <c r="Y38" i="6"/>
  <c r="V38" i="6"/>
  <c r="P38" i="6"/>
  <c r="L38" i="6"/>
  <c r="J38" i="6"/>
  <c r="H38" i="6"/>
  <c r="E38" i="6"/>
  <c r="AC37" i="6"/>
  <c r="AA37" i="6"/>
  <c r="Y37" i="6"/>
  <c r="V37" i="6"/>
  <c r="L37" i="6"/>
  <c r="J37" i="6"/>
  <c r="H37" i="6"/>
  <c r="E37" i="6"/>
  <c r="AC36" i="6"/>
  <c r="AA36" i="6"/>
  <c r="Y36" i="6"/>
  <c r="V36" i="6"/>
  <c r="L36" i="6"/>
  <c r="J36" i="6"/>
  <c r="H36" i="6"/>
  <c r="E36" i="6"/>
  <c r="AG35" i="6"/>
  <c r="AC35" i="6"/>
  <c r="AA35" i="6"/>
  <c r="Y35" i="6"/>
  <c r="V35" i="6"/>
  <c r="O35" i="6"/>
  <c r="L35" i="6"/>
  <c r="J35" i="6"/>
  <c r="H35" i="6"/>
  <c r="E35" i="6"/>
  <c r="AF34" i="6"/>
  <c r="AG34" i="6"/>
  <c r="AC34" i="6"/>
  <c r="AA34" i="6"/>
  <c r="Y34" i="6"/>
  <c r="V34" i="6"/>
  <c r="L34" i="6"/>
  <c r="J34" i="6"/>
  <c r="H34" i="6"/>
  <c r="E34" i="6"/>
  <c r="AG33" i="6"/>
  <c r="AC33" i="6"/>
  <c r="AA33" i="6"/>
  <c r="Y33" i="6"/>
  <c r="V33" i="6"/>
  <c r="N33" i="6"/>
  <c r="L33" i="6"/>
  <c r="J33" i="6"/>
  <c r="H33" i="6"/>
  <c r="E33" i="6"/>
  <c r="P32" i="6"/>
  <c r="L32" i="6"/>
  <c r="H32" i="6"/>
  <c r="E32" i="6"/>
  <c r="O31" i="6"/>
  <c r="L31" i="6"/>
  <c r="H31" i="6"/>
  <c r="E31" i="6"/>
  <c r="L30" i="6"/>
  <c r="H30" i="6"/>
  <c r="E30" i="6"/>
  <c r="L29" i="6"/>
  <c r="H29" i="6"/>
  <c r="E29" i="6"/>
  <c r="L28" i="6"/>
  <c r="H28" i="6"/>
  <c r="E28" i="6"/>
  <c r="L27" i="6"/>
  <c r="H27" i="6"/>
  <c r="E27" i="6"/>
  <c r="L26" i="6"/>
  <c r="H26" i="6"/>
  <c r="E26" i="6"/>
  <c r="L25" i="6"/>
  <c r="H25" i="6"/>
  <c r="E25" i="6"/>
  <c r="P24" i="6"/>
  <c r="L24" i="6"/>
  <c r="H24" i="6"/>
  <c r="E24" i="6"/>
  <c r="O23" i="6"/>
  <c r="P23" i="6"/>
  <c r="L23" i="6"/>
  <c r="H23" i="6"/>
  <c r="E23" i="6"/>
  <c r="L22" i="6"/>
  <c r="H22" i="6"/>
  <c r="E22" i="6"/>
  <c r="L21" i="6"/>
  <c r="H21" i="6"/>
  <c r="E21" i="6"/>
  <c r="L20" i="6"/>
  <c r="H20" i="6"/>
  <c r="E20" i="6"/>
  <c r="L19" i="6"/>
  <c r="H19" i="6"/>
  <c r="E19" i="6"/>
  <c r="L18" i="6"/>
  <c r="H18" i="6"/>
  <c r="E18" i="6"/>
  <c r="L17" i="6"/>
  <c r="H17" i="6"/>
  <c r="E17" i="6"/>
  <c r="P16" i="6"/>
  <c r="L16" i="6"/>
  <c r="H16" i="6"/>
  <c r="E16" i="6"/>
  <c r="L15" i="6"/>
  <c r="H15" i="6"/>
  <c r="E15" i="6"/>
  <c r="AC14" i="6"/>
  <c r="AA14" i="6"/>
  <c r="Y14" i="6"/>
  <c r="V14" i="6"/>
  <c r="L14" i="6"/>
  <c r="H14" i="6"/>
  <c r="E14" i="6"/>
  <c r="AC13" i="6"/>
  <c r="AA13" i="6"/>
  <c r="Y13" i="6"/>
  <c r="V13" i="6"/>
  <c r="L13" i="6"/>
  <c r="H13" i="6"/>
  <c r="E13" i="6"/>
  <c r="AC12" i="6"/>
  <c r="AA12" i="6"/>
  <c r="Y12" i="6"/>
  <c r="V12" i="6"/>
  <c r="L12" i="6"/>
  <c r="J12" i="6"/>
  <c r="H12" i="6"/>
  <c r="E12" i="6"/>
  <c r="AC11" i="6"/>
  <c r="AA11" i="6"/>
  <c r="Y11" i="6"/>
  <c r="V11" i="6"/>
  <c r="L11" i="6"/>
  <c r="J11" i="6"/>
  <c r="H11" i="6"/>
  <c r="E11" i="6"/>
  <c r="AC10" i="6"/>
  <c r="AA10" i="6"/>
  <c r="Y10" i="6"/>
  <c r="V10" i="6"/>
  <c r="L10" i="6"/>
  <c r="J10" i="6"/>
  <c r="H10" i="6"/>
  <c r="E10" i="6"/>
  <c r="AC8" i="4"/>
  <c r="AA8" i="4"/>
  <c r="Y8" i="4"/>
  <c r="V8" i="4"/>
  <c r="AC7" i="4"/>
  <c r="AA7" i="4"/>
  <c r="Y7" i="4"/>
  <c r="V7" i="4"/>
  <c r="AC6" i="4"/>
  <c r="AA6" i="4"/>
  <c r="Y6" i="4"/>
  <c r="V6" i="4"/>
  <c r="AC5" i="4"/>
  <c r="AA5" i="4"/>
  <c r="Y5" i="4"/>
  <c r="V5" i="4"/>
  <c r="L8" i="4"/>
  <c r="J8" i="4"/>
  <c r="H8" i="4"/>
  <c r="E8" i="4"/>
  <c r="L7" i="4"/>
  <c r="J7" i="4"/>
  <c r="H7" i="4"/>
  <c r="E7" i="4"/>
  <c r="L6" i="4"/>
  <c r="J6" i="4"/>
  <c r="H6" i="4"/>
  <c r="E6" i="4"/>
  <c r="L5" i="4"/>
  <c r="J5" i="4"/>
  <c r="H5" i="4"/>
  <c r="E5" i="4"/>
  <c r="AC9" i="6"/>
  <c r="AC8" i="6"/>
  <c r="AC7" i="6"/>
  <c r="AC6" i="6"/>
  <c r="AC5" i="6"/>
  <c r="AA9" i="6"/>
  <c r="AA8" i="6"/>
  <c r="AA7" i="6"/>
  <c r="AA6" i="6"/>
  <c r="AA5" i="6"/>
  <c r="Y9" i="6"/>
  <c r="Y8" i="6"/>
  <c r="Y7" i="6"/>
  <c r="Y6" i="6"/>
  <c r="Y5" i="6"/>
  <c r="V9" i="6"/>
  <c r="V8" i="6"/>
  <c r="V7" i="6"/>
  <c r="V6" i="6"/>
  <c r="V5" i="6"/>
  <c r="L6" i="6"/>
  <c r="L5" i="6"/>
  <c r="L9" i="6"/>
  <c r="L7" i="6"/>
  <c r="J7" i="6"/>
  <c r="J6" i="6"/>
  <c r="J5" i="6"/>
  <c r="J9" i="6"/>
  <c r="L8" i="6"/>
  <c r="J8" i="6"/>
  <c r="H8" i="6"/>
  <c r="H9" i="6"/>
  <c r="H7" i="6"/>
  <c r="H6" i="6"/>
  <c r="H5" i="6"/>
  <c r="E9" i="6"/>
  <c r="E8" i="6"/>
  <c r="E7" i="6"/>
  <c r="E6" i="6"/>
  <c r="E5" i="6"/>
  <c r="I10" i="2"/>
  <c r="H9" i="2"/>
  <c r="K9" i="2" s="1"/>
  <c r="G9" i="2"/>
  <c r="I29" i="2"/>
  <c r="H29" i="2"/>
  <c r="K29" i="2" s="1"/>
  <c r="G29" i="2"/>
  <c r="I30" i="2"/>
  <c r="G30" i="2"/>
  <c r="J30" i="2" s="1"/>
  <c r="H30" i="2"/>
  <c r="K30" i="2" s="1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I27" i="7"/>
  <c r="J10" i="2" l="1"/>
  <c r="I13" i="7"/>
  <c r="I15" i="7" s="1"/>
  <c r="I23" i="7" s="1"/>
  <c r="M39" i="2"/>
  <c r="L39" i="2"/>
  <c r="K10" i="2"/>
  <c r="J9" i="2"/>
  <c r="N44" i="6"/>
  <c r="O32" i="6"/>
  <c r="AG38" i="6"/>
  <c r="D54" i="7"/>
  <c r="AG29" i="4"/>
  <c r="AG30" i="4"/>
  <c r="P29" i="4"/>
  <c r="P28" i="4"/>
  <c r="P30" i="4"/>
  <c r="P32" i="4"/>
  <c r="AG52" i="6"/>
  <c r="AG36" i="6"/>
  <c r="AG44" i="6"/>
  <c r="AG54" i="6"/>
  <c r="AG48" i="6"/>
  <c r="AE54" i="6"/>
  <c r="P36" i="6"/>
  <c r="P53" i="6"/>
  <c r="N21" i="6"/>
  <c r="O21" i="6" s="1"/>
  <c r="O36" i="6"/>
  <c r="P48" i="6"/>
  <c r="O44" i="6"/>
  <c r="P45" i="6"/>
  <c r="N24" i="6"/>
  <c r="P52" i="6"/>
  <c r="N56" i="6"/>
  <c r="P37" i="6"/>
  <c r="N52" i="6"/>
  <c r="P44" i="4"/>
  <c r="O44" i="4"/>
  <c r="P48" i="4"/>
  <c r="O48" i="4"/>
  <c r="P59" i="4"/>
  <c r="O59" i="4"/>
  <c r="AG53" i="4"/>
  <c r="AF53" i="4"/>
  <c r="AE53" i="4"/>
  <c r="N59" i="4"/>
  <c r="AG41" i="4"/>
  <c r="AF41" i="4"/>
  <c r="AG43" i="4"/>
  <c r="AF43" i="4"/>
  <c r="AG47" i="4"/>
  <c r="AF47" i="4"/>
  <c r="AE41" i="4"/>
  <c r="AE43" i="4"/>
  <c r="AE47" i="4"/>
  <c r="AG54" i="4"/>
  <c r="AF54" i="4"/>
  <c r="AE54" i="4"/>
  <c r="AG58" i="4"/>
  <c r="AF58" i="4"/>
  <c r="AE58" i="4"/>
  <c r="AG57" i="4"/>
  <c r="AF57" i="4"/>
  <c r="AE57" i="4"/>
  <c r="P41" i="4"/>
  <c r="O41" i="4"/>
  <c r="P47" i="4"/>
  <c r="O47" i="4"/>
  <c r="AG56" i="4"/>
  <c r="AF56" i="4"/>
  <c r="AE56" i="4"/>
  <c r="P42" i="4"/>
  <c r="O42" i="4"/>
  <c r="P46" i="4"/>
  <c r="O46" i="4"/>
  <c r="P50" i="4"/>
  <c r="O50" i="4"/>
  <c r="P52" i="4"/>
  <c r="O52" i="4"/>
  <c r="P55" i="4"/>
  <c r="O55" i="4"/>
  <c r="N55" i="4"/>
  <c r="N44" i="4"/>
  <c r="N48" i="4"/>
  <c r="N50" i="4"/>
  <c r="AG45" i="4"/>
  <c r="AF45" i="4"/>
  <c r="AG49" i="4"/>
  <c r="AF49" i="4"/>
  <c r="AG51" i="4"/>
  <c r="AF51" i="4"/>
  <c r="P56" i="4"/>
  <c r="O56" i="4"/>
  <c r="N56" i="4"/>
  <c r="P43" i="4"/>
  <c r="O43" i="4"/>
  <c r="P45" i="4"/>
  <c r="O45" i="4"/>
  <c r="P49" i="4"/>
  <c r="O49" i="4"/>
  <c r="P51" i="4"/>
  <c r="O51" i="4"/>
  <c r="P53" i="4"/>
  <c r="O53" i="4"/>
  <c r="N53" i="4"/>
  <c r="P57" i="4"/>
  <c r="O57" i="4"/>
  <c r="N57" i="4"/>
  <c r="N41" i="4"/>
  <c r="N45" i="4"/>
  <c r="N47" i="4"/>
  <c r="N49" i="4"/>
  <c r="N51" i="4"/>
  <c r="AG55" i="4"/>
  <c r="AF55" i="4"/>
  <c r="AE55" i="4"/>
  <c r="AG42" i="4"/>
  <c r="AF42" i="4"/>
  <c r="AG44" i="4"/>
  <c r="AF44" i="4"/>
  <c r="AG46" i="4"/>
  <c r="AF46" i="4"/>
  <c r="AG48" i="4"/>
  <c r="AF48" i="4"/>
  <c r="AG50" i="4"/>
  <c r="AF50" i="4"/>
  <c r="AG52" i="4"/>
  <c r="AF52" i="4"/>
  <c r="P54" i="4"/>
  <c r="O54" i="4"/>
  <c r="N54" i="4"/>
  <c r="P58" i="4"/>
  <c r="O58" i="4"/>
  <c r="N58" i="4"/>
  <c r="AG59" i="4"/>
  <c r="AF59" i="4"/>
  <c r="AE59" i="4"/>
  <c r="P36" i="4"/>
  <c r="O36" i="4"/>
  <c r="P40" i="4"/>
  <c r="O40" i="4"/>
  <c r="P38" i="4"/>
  <c r="O38" i="4"/>
  <c r="N36" i="4"/>
  <c r="N38" i="4"/>
  <c r="N40" i="4"/>
  <c r="AG37" i="4"/>
  <c r="AF37" i="4"/>
  <c r="AG39" i="4"/>
  <c r="AF39" i="4"/>
  <c r="AE37" i="4"/>
  <c r="AE39" i="4"/>
  <c r="P37" i="4"/>
  <c r="O37" i="4"/>
  <c r="P39" i="4"/>
  <c r="O39" i="4"/>
  <c r="N37" i="4"/>
  <c r="N39" i="4"/>
  <c r="AG36" i="4"/>
  <c r="AF36" i="4"/>
  <c r="AG38" i="4"/>
  <c r="AF38" i="4"/>
  <c r="AG40" i="4"/>
  <c r="AF40" i="4"/>
  <c r="AF35" i="4"/>
  <c r="AF22" i="4"/>
  <c r="AF23" i="4"/>
  <c r="O26" i="4"/>
  <c r="O27" i="4"/>
  <c r="O28" i="4"/>
  <c r="O29" i="4"/>
  <c r="AF29" i="4"/>
  <c r="O30" i="4"/>
  <c r="AF30" i="4"/>
  <c r="O31" i="4"/>
  <c r="AF31" i="4"/>
  <c r="O32" i="4"/>
  <c r="AF32" i="4"/>
  <c r="O33" i="4"/>
  <c r="AF33" i="4"/>
  <c r="O34" i="4"/>
  <c r="AF34" i="4"/>
  <c r="N9" i="4"/>
  <c r="O9" i="4" s="1"/>
  <c r="AE9" i="4"/>
  <c r="AG9" i="4" s="1"/>
  <c r="AE10" i="4"/>
  <c r="AG10" i="4" s="1"/>
  <c r="N11" i="4"/>
  <c r="AE11" i="4"/>
  <c r="N12" i="4"/>
  <c r="AE12" i="4"/>
  <c r="N13" i="4"/>
  <c r="N14" i="4"/>
  <c r="AE14" i="4"/>
  <c r="AG14" i="4" s="1"/>
  <c r="AE15" i="4"/>
  <c r="AG15" i="4" s="1"/>
  <c r="N17" i="4"/>
  <c r="N19" i="4"/>
  <c r="AE19" i="4"/>
  <c r="AG19" i="4" s="1"/>
  <c r="N20" i="4"/>
  <c r="AF11" i="4"/>
  <c r="AF12" i="4"/>
  <c r="O13" i="4"/>
  <c r="O14" i="4"/>
  <c r="O19" i="4"/>
  <c r="O20" i="4"/>
  <c r="N35" i="4"/>
  <c r="O35" i="4" s="1"/>
  <c r="AE35" i="4"/>
  <c r="N18" i="6"/>
  <c r="N26" i="6"/>
  <c r="N34" i="6"/>
  <c r="N42" i="6"/>
  <c r="N54" i="6"/>
  <c r="N58" i="6"/>
  <c r="AE11" i="6"/>
  <c r="N12" i="6"/>
  <c r="O12" i="6" s="1"/>
  <c r="AE12" i="6"/>
  <c r="AF12" i="6" s="1"/>
  <c r="AE13" i="6"/>
  <c r="AF13" i="6" s="1"/>
  <c r="N14" i="6"/>
  <c r="AE14" i="6"/>
  <c r="N16" i="6"/>
  <c r="N17" i="6"/>
  <c r="O30" i="6"/>
  <c r="AE33" i="6"/>
  <c r="O34" i="6"/>
  <c r="AE37" i="6"/>
  <c r="O38" i="6"/>
  <c r="AE41" i="6"/>
  <c r="O42" i="6"/>
  <c r="AE45" i="6"/>
  <c r="O46" i="6"/>
  <c r="AE49" i="6"/>
  <c r="O50" i="6"/>
  <c r="AE53" i="6"/>
  <c r="O54" i="6"/>
  <c r="AE57" i="6"/>
  <c r="O58" i="6"/>
  <c r="N30" i="6"/>
  <c r="N38" i="6"/>
  <c r="N46" i="6"/>
  <c r="N50" i="6"/>
  <c r="AF14" i="6"/>
  <c r="O16" i="6"/>
  <c r="AF33" i="6"/>
  <c r="AF37" i="6"/>
  <c r="AF41" i="6"/>
  <c r="AF45" i="6"/>
  <c r="AF49" i="6"/>
  <c r="AF53" i="6"/>
  <c r="AF57" i="6"/>
  <c r="O33" i="6"/>
  <c r="AE36" i="6"/>
  <c r="O37" i="6"/>
  <c r="AE40" i="6"/>
  <c r="O41" i="6"/>
  <c r="AE44" i="6"/>
  <c r="O45" i="6"/>
  <c r="AE48" i="6"/>
  <c r="O49" i="6"/>
  <c r="AE52" i="6"/>
  <c r="O53" i="6"/>
  <c r="AE56" i="6"/>
  <c r="O57" i="6"/>
  <c r="AE35" i="6"/>
  <c r="AE39" i="6"/>
  <c r="AE43" i="6"/>
  <c r="AE47" i="6"/>
  <c r="AE51" i="6"/>
  <c r="AE55" i="6"/>
  <c r="AE59" i="6"/>
  <c r="N23" i="6"/>
  <c r="N31" i="6"/>
  <c r="N35" i="6"/>
  <c r="AF35" i="6"/>
  <c r="N39" i="6"/>
  <c r="AF39" i="6"/>
  <c r="N43" i="6"/>
  <c r="AF43" i="6"/>
  <c r="N47" i="6"/>
  <c r="AF47" i="6"/>
  <c r="N51" i="6"/>
  <c r="AF51" i="6"/>
  <c r="N55" i="6"/>
  <c r="AF55" i="6"/>
  <c r="N59" i="6"/>
  <c r="AF59" i="6"/>
  <c r="AE10" i="6"/>
  <c r="AE8" i="6"/>
  <c r="AF8" i="6" s="1"/>
  <c r="AF6" i="6"/>
  <c r="AF5" i="6"/>
  <c r="AE6" i="4"/>
  <c r="AE8" i="4"/>
  <c r="AG8" i="4" s="1"/>
  <c r="J29" i="2"/>
  <c r="AD60" i="6"/>
  <c r="AD60" i="4"/>
  <c r="H3" i="2"/>
  <c r="D4" i="2"/>
  <c r="D3" i="2"/>
  <c r="J44" i="5"/>
  <c r="J43" i="5"/>
  <c r="J42" i="5"/>
  <c r="J41" i="5"/>
  <c r="J40" i="5"/>
  <c r="J39" i="5"/>
  <c r="J38" i="5"/>
  <c r="J37" i="5"/>
  <c r="J36" i="5"/>
  <c r="J35" i="5"/>
  <c r="J34" i="5"/>
  <c r="J33" i="5"/>
  <c r="N11" i="6" s="1"/>
  <c r="O11" i="6" s="1"/>
  <c r="J32" i="5"/>
  <c r="N8" i="6" s="1"/>
  <c r="J31" i="5"/>
  <c r="N15" i="6" s="1"/>
  <c r="O15" i="6" s="1"/>
  <c r="J30" i="5"/>
  <c r="N19" i="6" s="1"/>
  <c r="J28" i="5"/>
  <c r="N5" i="6" s="1"/>
  <c r="J27" i="5"/>
  <c r="J26" i="5"/>
  <c r="N18" i="4" s="1"/>
  <c r="O18" i="4" s="1"/>
  <c r="J25" i="5"/>
  <c r="D33" i="5"/>
  <c r="D32" i="5"/>
  <c r="AE9" i="6" s="1"/>
  <c r="AF9" i="6" s="1"/>
  <c r="D31" i="5"/>
  <c r="D30" i="5"/>
  <c r="D29" i="5"/>
  <c r="D28" i="5"/>
  <c r="AE16" i="4" s="1"/>
  <c r="AG16" i="4" s="1"/>
  <c r="D27" i="5"/>
  <c r="AE18" i="4" s="1"/>
  <c r="AG18" i="4" s="1"/>
  <c r="D26" i="5"/>
  <c r="AE7" i="4" s="1"/>
  <c r="H54" i="7" l="1"/>
  <c r="H55" i="7"/>
  <c r="M24" i="2"/>
  <c r="L24" i="2"/>
  <c r="M4" i="2"/>
  <c r="M3" i="2"/>
  <c r="I41" i="7"/>
  <c r="F54" i="7"/>
  <c r="F55" i="7"/>
  <c r="I43" i="7"/>
  <c r="N5" i="4"/>
  <c r="N16" i="4"/>
  <c r="O16" i="4" s="1"/>
  <c r="N9" i="6"/>
  <c r="N13" i="6"/>
  <c r="O13" i="6" s="1"/>
  <c r="N20" i="6"/>
  <c r="O20" i="6" s="1"/>
  <c r="N25" i="4"/>
  <c r="O25" i="4" s="1"/>
  <c r="N23" i="4"/>
  <c r="O23" i="4" s="1"/>
  <c r="N22" i="4"/>
  <c r="O22" i="4" s="1"/>
  <c r="N24" i="4"/>
  <c r="O24" i="4" s="1"/>
  <c r="N29" i="6"/>
  <c r="O29" i="6" s="1"/>
  <c r="N10" i="6"/>
  <c r="N15" i="4"/>
  <c r="O15" i="4" s="1"/>
  <c r="N7" i="6"/>
  <c r="O7" i="6" s="1"/>
  <c r="N8" i="4"/>
  <c r="O8" i="4" s="1"/>
  <c r="N6" i="6"/>
  <c r="O6" i="6" s="1"/>
  <c r="N7" i="4"/>
  <c r="O7" i="4" s="1"/>
  <c r="N21" i="4"/>
  <c r="O21" i="4" s="1"/>
  <c r="N10" i="4"/>
  <c r="O10" i="4" s="1"/>
  <c r="N22" i="6"/>
  <c r="N27" i="6"/>
  <c r="O27" i="6" s="1"/>
  <c r="N6" i="4"/>
  <c r="O6" i="4" s="1"/>
  <c r="N28" i="6"/>
  <c r="O28" i="6" s="1"/>
  <c r="N25" i="6"/>
  <c r="O25" i="6" s="1"/>
  <c r="AE27" i="6"/>
  <c r="AF27" i="6" s="1"/>
  <c r="AE30" i="6"/>
  <c r="AF30" i="6" s="1"/>
  <c r="AE29" i="6"/>
  <c r="AF29" i="6" s="1"/>
  <c r="AE31" i="6"/>
  <c r="AF31" i="6" s="1"/>
  <c r="AE32" i="6"/>
  <c r="AF32" i="6" s="1"/>
  <c r="AE28" i="6"/>
  <c r="AF28" i="6" s="1"/>
  <c r="AE24" i="4"/>
  <c r="AE27" i="4"/>
  <c r="AE28" i="4"/>
  <c r="AE26" i="4"/>
  <c r="AE25" i="4"/>
  <c r="AF15" i="4"/>
  <c r="AE20" i="4"/>
  <c r="AG20" i="4" s="1"/>
  <c r="AE15" i="6"/>
  <c r="AF15" i="6" s="1"/>
  <c r="AE20" i="6"/>
  <c r="AF20" i="6" s="1"/>
  <c r="AE16" i="6"/>
  <c r="AF16" i="6" s="1"/>
  <c r="AE18" i="6"/>
  <c r="AF18" i="6" s="1"/>
  <c r="AE17" i="6"/>
  <c r="AF17" i="6" s="1"/>
  <c r="AE19" i="6"/>
  <c r="AF19" i="6" s="1"/>
  <c r="AE21" i="6"/>
  <c r="AF21" i="6" s="1"/>
  <c r="AE22" i="6"/>
  <c r="AF22" i="6" s="1"/>
  <c r="AE13" i="4"/>
  <c r="AG13" i="4" s="1"/>
  <c r="AE23" i="6"/>
  <c r="AF23" i="6" s="1"/>
  <c r="AE24" i="6"/>
  <c r="AF24" i="6" s="1"/>
  <c r="AE21" i="4"/>
  <c r="AG21" i="4" s="1"/>
  <c r="AE17" i="4"/>
  <c r="AG17" i="4" s="1"/>
  <c r="AF17" i="4"/>
  <c r="AF16" i="4"/>
  <c r="O5" i="6"/>
  <c r="AF11" i="6"/>
  <c r="AF20" i="4"/>
  <c r="AF19" i="4"/>
  <c r="AF18" i="4"/>
  <c r="AF14" i="4"/>
  <c r="AF10" i="4"/>
  <c r="AF9" i="4"/>
  <c r="AF8" i="4"/>
  <c r="AF6" i="4"/>
  <c r="D55" i="7"/>
  <c r="O17" i="4"/>
  <c r="O12" i="4"/>
  <c r="O11" i="4"/>
  <c r="D57" i="7"/>
  <c r="O26" i="6"/>
  <c r="O22" i="6"/>
  <c r="O19" i="6"/>
  <c r="O18" i="6"/>
  <c r="O17" i="6"/>
  <c r="O14" i="6"/>
  <c r="O10" i="6"/>
  <c r="O9" i="6"/>
  <c r="D56" i="7"/>
  <c r="C23" i="7"/>
  <c r="AE5" i="4"/>
  <c r="AE7" i="6"/>
  <c r="AF7" i="6" s="1"/>
  <c r="O8" i="6"/>
  <c r="AF10" i="6"/>
  <c r="AF7" i="4"/>
  <c r="O5" i="4"/>
  <c r="I25" i="7"/>
  <c r="C25" i="7" l="1"/>
  <c r="H57" i="7"/>
  <c r="H56" i="7"/>
  <c r="AF21" i="4"/>
  <c r="O60" i="4"/>
  <c r="O60" i="6"/>
  <c r="AG27" i="4"/>
  <c r="AF27" i="4"/>
  <c r="AG24" i="4"/>
  <c r="AF24" i="4"/>
  <c r="AF13" i="4"/>
  <c r="AF25" i="4"/>
  <c r="AG25" i="4"/>
  <c r="AG26" i="4"/>
  <c r="AF26" i="4"/>
  <c r="AG28" i="4"/>
  <c r="AF28" i="4"/>
  <c r="AF5" i="4"/>
  <c r="AF60" i="6"/>
  <c r="AF60" i="4" l="1"/>
  <c r="AG63" i="4" s="1"/>
  <c r="AG5" i="4" s="1"/>
  <c r="P63" i="4"/>
  <c r="P25" i="4" s="1"/>
  <c r="P63" i="6"/>
  <c r="P22" i="6" s="1"/>
  <c r="AG7" i="4"/>
  <c r="P12" i="4"/>
  <c r="AG63" i="6"/>
  <c r="AG5" i="6" s="1"/>
  <c r="P35" i="4"/>
  <c r="P26" i="6" l="1"/>
  <c r="P8" i="6"/>
  <c r="P9" i="6"/>
  <c r="P7" i="6"/>
  <c r="P15" i="6"/>
  <c r="P17" i="6"/>
  <c r="P5" i="6"/>
  <c r="P10" i="6"/>
  <c r="P6" i="4"/>
  <c r="P15" i="4"/>
  <c r="P18" i="4"/>
  <c r="P22" i="4"/>
  <c r="P21" i="4"/>
  <c r="P24" i="4"/>
  <c r="P7" i="4"/>
  <c r="P10" i="4"/>
  <c r="P5" i="4"/>
  <c r="P9" i="4"/>
  <c r="P23" i="4"/>
  <c r="P11" i="4"/>
  <c r="E41" i="7"/>
  <c r="P16" i="4"/>
  <c r="P8" i="4"/>
  <c r="P17" i="4"/>
  <c r="P12" i="6"/>
  <c r="P19" i="6"/>
  <c r="P14" i="6"/>
  <c r="P6" i="6"/>
  <c r="P13" i="6"/>
  <c r="P18" i="6"/>
  <c r="P11" i="6"/>
  <c r="P25" i="6"/>
  <c r="P28" i="6"/>
  <c r="P20" i="6"/>
  <c r="P21" i="6"/>
  <c r="E45" i="7"/>
  <c r="P27" i="6"/>
  <c r="P29" i="6"/>
  <c r="AG22" i="6"/>
  <c r="AG24" i="6"/>
  <c r="AG23" i="6"/>
  <c r="AG11" i="6"/>
  <c r="AG12" i="6"/>
  <c r="AG32" i="6"/>
  <c r="AG16" i="6"/>
  <c r="AG31" i="6"/>
  <c r="AG15" i="6"/>
  <c r="AG19" i="6"/>
  <c r="AG30" i="6"/>
  <c r="AG29" i="6"/>
  <c r="AG21" i="6"/>
  <c r="AG28" i="6"/>
  <c r="AG20" i="6"/>
  <c r="AG27" i="6"/>
  <c r="AG18" i="6"/>
  <c r="AG17" i="6"/>
  <c r="E43" i="7"/>
  <c r="AG6" i="4"/>
  <c r="AG14" i="6"/>
  <c r="AG9" i="6"/>
  <c r="AG13" i="6"/>
  <c r="E47" i="7"/>
  <c r="AG7" i="6"/>
  <c r="AG10" i="6"/>
  <c r="AG6" i="6"/>
  <c r="AG8" i="6"/>
  <c r="P62" i="6"/>
  <c r="D45" i="7" s="1"/>
  <c r="P60" i="4" l="1"/>
  <c r="P60" i="6"/>
  <c r="AG60" i="4"/>
  <c r="AG60" i="6"/>
  <c r="P64" i="6"/>
  <c r="AG62" i="6"/>
  <c r="D47" i="7" s="1"/>
  <c r="P62" i="4"/>
  <c r="P64" i="4" s="1"/>
  <c r="AG65" i="4" l="1"/>
  <c r="G43" i="7" s="1"/>
  <c r="AG65" i="6"/>
  <c r="G47" i="7" s="1"/>
  <c r="P65" i="6"/>
  <c r="P66" i="6" s="1"/>
  <c r="P65" i="4"/>
  <c r="P66" i="4" s="1"/>
  <c r="H41" i="7" s="1"/>
  <c r="S21" i="7" s="1"/>
  <c r="F45" i="7"/>
  <c r="AG64" i="6"/>
  <c r="D41" i="7"/>
  <c r="F41" i="7"/>
  <c r="AG62" i="4"/>
  <c r="AG64" i="4" s="1"/>
  <c r="G45" i="7" l="1"/>
  <c r="AG66" i="4"/>
  <c r="G41" i="7"/>
  <c r="T23" i="7"/>
  <c r="S23" i="7"/>
  <c r="H45" i="7"/>
  <c r="F47" i="7"/>
  <c r="AG66" i="6"/>
  <c r="H47" i="7" s="1"/>
  <c r="D43" i="7"/>
  <c r="S39" i="7" l="1"/>
  <c r="V41" i="7" s="1"/>
  <c r="S33" i="7"/>
  <c r="V23" i="7"/>
  <c r="S25" i="7"/>
  <c r="T25" i="7"/>
  <c r="W23" i="7"/>
  <c r="V24" i="7"/>
  <c r="T24" i="7"/>
  <c r="W24" i="7"/>
  <c r="U23" i="7"/>
  <c r="S24" i="7"/>
  <c r="U24" i="7"/>
  <c r="U25" i="7"/>
  <c r="W25" i="7"/>
  <c r="V25" i="7"/>
  <c r="F43" i="7"/>
  <c r="H43" i="7"/>
  <c r="S27" i="7" s="1"/>
  <c r="U41" i="7" l="1"/>
  <c r="T42" i="7"/>
  <c r="W43" i="7"/>
  <c r="W42" i="7"/>
  <c r="S43" i="7"/>
  <c r="V42" i="7"/>
  <c r="U42" i="7"/>
  <c r="S42" i="7"/>
  <c r="S41" i="7"/>
  <c r="T21" i="7"/>
  <c r="U43" i="7"/>
  <c r="V43" i="7"/>
  <c r="T41" i="7"/>
  <c r="W41" i="7"/>
  <c r="T37" i="7"/>
  <c r="W35" i="7"/>
  <c r="U37" i="7"/>
  <c r="V37" i="7"/>
  <c r="U36" i="7"/>
  <c r="S36" i="7"/>
  <c r="W37" i="7"/>
  <c r="S37" i="7"/>
  <c r="W36" i="7"/>
  <c r="S35" i="7"/>
  <c r="V35" i="7"/>
  <c r="U35" i="7"/>
  <c r="V36" i="7"/>
  <c r="T35" i="7"/>
  <c r="T43" i="7"/>
  <c r="T36" i="7"/>
  <c r="S30" i="7"/>
  <c r="W30" i="7"/>
  <c r="S31" i="7"/>
  <c r="T31" i="7"/>
  <c r="V31" i="7"/>
  <c r="W31" i="7"/>
  <c r="S29" i="7"/>
  <c r="W29" i="7"/>
  <c r="V30" i="7"/>
  <c r="T30" i="7"/>
  <c r="T29" i="7"/>
  <c r="U29" i="7"/>
  <c r="V29" i="7"/>
  <c r="U31" i="7"/>
  <c r="U30" i="7"/>
  <c r="T33" i="7" l="1"/>
  <c r="I45" i="7" s="1"/>
  <c r="E56" i="7" s="1"/>
  <c r="G56" i="7" s="1"/>
  <c r="I56" i="7" s="1"/>
  <c r="T39" i="7"/>
  <c r="I47" i="7" s="1"/>
  <c r="E57" i="7" s="1"/>
  <c r="G57" i="7" s="1"/>
  <c r="I57" i="7" s="1"/>
  <c r="E54" i="7"/>
  <c r="G54" i="7" s="1"/>
  <c r="I54" i="7" s="1"/>
  <c r="T27" i="7"/>
  <c r="E55" i="7" l="1"/>
  <c r="G55" i="7" s="1"/>
  <c r="I55" i="7" s="1"/>
  <c r="G59" i="7" s="1"/>
  <c r="H59" i="7" l="1"/>
</calcChain>
</file>

<file path=xl/comments1.xml><?xml version="1.0" encoding="utf-8"?>
<comments xmlns="http://schemas.openxmlformats.org/spreadsheetml/2006/main">
  <authors>
    <author>HIDEKI</author>
  </authors>
  <commentList>
    <comment ref="A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Ｘ方向の通り番号を設定
</t>
        </r>
      </text>
    </comment>
    <comment ref="B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Weeの通り符号
（任意に設定しても可）
</t>
        </r>
      </text>
    </comment>
    <comment ref="C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耐力壁間のスパン
</t>
        </r>
      </text>
    </comment>
    <comment ref="G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Ｙ方向の通り番号を設定
</t>
        </r>
      </text>
    </comment>
    <comment ref="H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Weeの通り符号
（任意に設定しても可）
</t>
        </r>
      </text>
    </comment>
    <comment ref="I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耐力壁間のスパン
</t>
        </r>
      </text>
    </comment>
  </commentList>
</comments>
</file>

<file path=xl/comments2.xml><?xml version="1.0" encoding="utf-8"?>
<comments xmlns="http://schemas.openxmlformats.org/spreadsheetml/2006/main">
  <authors>
    <author>HIDEKI</author>
  </authors>
  <commentList>
    <comment ref="D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1項で設定した番号
</t>
        </r>
        <r>
          <rPr>
            <sz val="9"/>
            <color indexed="10"/>
            <rFont val="ＭＳ Ｐゴシック"/>
            <family val="3"/>
            <charset val="128"/>
          </rPr>
          <t>Ｙ方向の通り番号</t>
        </r>
        <r>
          <rPr>
            <sz val="9"/>
            <color indexed="81"/>
            <rFont val="ＭＳ Ｐゴシック"/>
            <family val="3"/>
            <charset val="128"/>
          </rPr>
          <t xml:space="preserve">　
</t>
        </r>
        <r>
          <rPr>
            <sz val="9"/>
            <color indexed="10"/>
            <rFont val="ＭＳ Ｐゴシック"/>
            <family val="3"/>
            <charset val="128"/>
          </rPr>
          <t>0番から35番</t>
        </r>
      </text>
    </comment>
    <comment ref="E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Weeの通り符号
</t>
        </r>
      </text>
    </comment>
    <comment ref="F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Weeの壁記号
</t>
        </r>
      </text>
    </comment>
    <comment ref="G3" authorId="0">
      <text>
        <r>
          <rPr>
            <sz val="9"/>
            <color indexed="10"/>
            <rFont val="ＭＳ Ｐゴシック"/>
            <family val="3"/>
            <charset val="128"/>
          </rPr>
          <t>Fw:壁基準耐力(kN/m)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" authorId="0">
      <text>
        <r>
          <rPr>
            <sz val="9"/>
            <color indexed="10"/>
            <rFont val="ＭＳ Ｐゴシック"/>
            <family val="3"/>
            <charset val="128"/>
          </rPr>
          <t>sKj:接合部耐力低減係数（正記入）
sKa:開口壁における連続長さと開口形状による調整係数（負記入)</t>
        </r>
      </text>
    </comment>
    <comment ref="K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Ｌ；壁長　(ｍｍ)
</t>
        </r>
      </text>
    </comment>
    <comment ref="U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1項で設定した番号
</t>
        </r>
        <r>
          <rPr>
            <sz val="9"/>
            <color indexed="10"/>
            <rFont val="ＭＳ Ｐゴシック"/>
            <family val="3"/>
            <charset val="128"/>
          </rPr>
          <t>Ｘ方向の通り番号</t>
        </r>
        <r>
          <rPr>
            <sz val="9"/>
            <color indexed="81"/>
            <rFont val="ＭＳ Ｐゴシック"/>
            <family val="3"/>
            <charset val="128"/>
          </rPr>
          <t xml:space="preserve">　
</t>
        </r>
        <r>
          <rPr>
            <sz val="9"/>
            <color indexed="10"/>
            <rFont val="ＭＳ Ｐゴシック"/>
            <family val="3"/>
            <charset val="128"/>
          </rPr>
          <t>100から135番</t>
        </r>
      </text>
    </comment>
    <comment ref="V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Weeの通り符号
</t>
        </r>
      </text>
    </comment>
    <comment ref="W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Weeの壁記号
</t>
        </r>
      </text>
    </comment>
    <comment ref="X3" authorId="0">
      <text>
        <r>
          <rPr>
            <sz val="9"/>
            <color indexed="10"/>
            <rFont val="ＭＳ Ｐゴシック"/>
            <family val="3"/>
            <charset val="128"/>
          </rPr>
          <t>Fw:壁基準耐力(kN/m)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3" authorId="0">
      <text>
        <r>
          <rPr>
            <sz val="9"/>
            <color indexed="10"/>
            <rFont val="ＭＳ Ｐゴシック"/>
            <family val="3"/>
            <charset val="128"/>
          </rPr>
          <t>sKj:接合部耐力低減係数（正記入）
sKa:開口壁における連続長さと開口形状による調整係数（負記入)</t>
        </r>
      </text>
    </comment>
    <comment ref="AB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Ｌ；壁長　(ｍｍ)
</t>
        </r>
      </text>
    </comment>
    <comment ref="A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備考:
Weeのデーターを補正した場合等などに記入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備考:
Weeのデーターを補正した場合等などに記入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HIDEKI</author>
  </authors>
  <commentList>
    <comment ref="D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1項で設定した番号
</t>
        </r>
        <r>
          <rPr>
            <sz val="9"/>
            <color indexed="10"/>
            <rFont val="ＭＳ Ｐゴシック"/>
            <family val="3"/>
            <charset val="128"/>
          </rPr>
          <t>Ｙ方向の通り番号</t>
        </r>
        <r>
          <rPr>
            <sz val="9"/>
            <color indexed="81"/>
            <rFont val="ＭＳ Ｐゴシック"/>
            <family val="3"/>
            <charset val="128"/>
          </rPr>
          <t xml:space="preserve">　
</t>
        </r>
        <r>
          <rPr>
            <sz val="9"/>
            <color indexed="10"/>
            <rFont val="ＭＳ Ｐゴシック"/>
            <family val="3"/>
            <charset val="128"/>
          </rPr>
          <t>0番から35番</t>
        </r>
      </text>
    </comment>
    <comment ref="E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Weeの通り符号
</t>
        </r>
      </text>
    </comment>
    <comment ref="F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Weeの壁記号
</t>
        </r>
      </text>
    </comment>
    <comment ref="G3" authorId="0">
      <text>
        <r>
          <rPr>
            <sz val="9"/>
            <color indexed="10"/>
            <rFont val="ＭＳ Ｐゴシック"/>
            <family val="3"/>
            <charset val="128"/>
          </rPr>
          <t>Fw:壁基準耐力(kN/m)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" authorId="0">
      <text>
        <r>
          <rPr>
            <sz val="9"/>
            <color indexed="10"/>
            <rFont val="ＭＳ Ｐゴシック"/>
            <family val="3"/>
            <charset val="128"/>
          </rPr>
          <t>sKj:接合部耐力低減係数（正記入）
sKa:開口壁における連続長さと開口形状による調整係数（負記入)</t>
        </r>
      </text>
    </comment>
    <comment ref="K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Ｌ；壁長　(ｍｍ)
</t>
        </r>
      </text>
    </comment>
    <comment ref="U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1項で設定した番号
</t>
        </r>
        <r>
          <rPr>
            <sz val="9"/>
            <color indexed="10"/>
            <rFont val="ＭＳ Ｐゴシック"/>
            <family val="3"/>
            <charset val="128"/>
          </rPr>
          <t>Ｘ方向の通り番号</t>
        </r>
        <r>
          <rPr>
            <sz val="9"/>
            <color indexed="81"/>
            <rFont val="ＭＳ Ｐゴシック"/>
            <family val="3"/>
            <charset val="128"/>
          </rPr>
          <t xml:space="preserve">　
</t>
        </r>
        <r>
          <rPr>
            <sz val="9"/>
            <color indexed="10"/>
            <rFont val="ＭＳ Ｐゴシック"/>
            <family val="3"/>
            <charset val="128"/>
          </rPr>
          <t>100から135番</t>
        </r>
      </text>
    </comment>
    <comment ref="V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Weeの通り符号
</t>
        </r>
      </text>
    </comment>
    <comment ref="W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Weeの壁記号
</t>
        </r>
      </text>
    </comment>
    <comment ref="X3" authorId="0">
      <text>
        <r>
          <rPr>
            <sz val="9"/>
            <color indexed="10"/>
            <rFont val="ＭＳ Ｐゴシック"/>
            <family val="3"/>
            <charset val="128"/>
          </rPr>
          <t>Fw:壁基準耐力(kN/m)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3" authorId="0">
      <text>
        <r>
          <rPr>
            <sz val="9"/>
            <color indexed="10"/>
            <rFont val="ＭＳ Ｐゴシック"/>
            <family val="3"/>
            <charset val="128"/>
          </rPr>
          <t>sKj:接合部耐力低減係数（正記入）
sKa:開口壁における連続長さと開口形状による調整係数（負記入)</t>
        </r>
      </text>
    </comment>
    <comment ref="AB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Ｌ；壁長　(ｍｍ)
</t>
        </r>
      </text>
    </comment>
    <comment ref="A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備考:
Weeのデーターを補正した場合等などに記入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備考:
Weeのデーターを補正した場合等などに記入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HIDEKI　TANIGUCHI</author>
  </authors>
  <commentList>
    <comment ref="L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重い屋根；1
軽い屋根；2
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床仕様を入力
Ⅰ：1
Ⅱ：2
Ⅲ：3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劣化度入力
</t>
        </r>
      </text>
    </comment>
  </commentList>
</comments>
</file>

<file path=xl/sharedStrings.xml><?xml version="1.0" encoding="utf-8"?>
<sst xmlns="http://schemas.openxmlformats.org/spreadsheetml/2006/main" count="442" uniqueCount="280">
  <si>
    <t>階</t>
    <rPh sb="0" eb="1">
      <t>カイ</t>
    </rPh>
    <phoneticPr fontId="1"/>
  </si>
  <si>
    <t>X</t>
    <phoneticPr fontId="1"/>
  </si>
  <si>
    <t>Fw</t>
    <phoneticPr fontId="1"/>
  </si>
  <si>
    <t>L</t>
    <phoneticPr fontId="1"/>
  </si>
  <si>
    <t>重心算定簡易重量表</t>
    <rPh sb="0" eb="2">
      <t>ジュウシン</t>
    </rPh>
    <rPh sb="2" eb="4">
      <t>サンテイ</t>
    </rPh>
    <rPh sb="4" eb="6">
      <t>カンイ</t>
    </rPh>
    <rPh sb="6" eb="8">
      <t>ジュウリョウ</t>
    </rPh>
    <rPh sb="8" eb="9">
      <t>ヒョウ</t>
    </rPh>
    <phoneticPr fontId="1"/>
  </si>
  <si>
    <t>軽い建物</t>
    <rPh sb="0" eb="1">
      <t>カル</t>
    </rPh>
    <rPh sb="2" eb="4">
      <t>タテモノ</t>
    </rPh>
    <phoneticPr fontId="1"/>
  </si>
  <si>
    <t>平屋</t>
    <rPh sb="0" eb="2">
      <t>ヒラヤ</t>
    </rPh>
    <phoneticPr fontId="1"/>
  </si>
  <si>
    <t>２階建て</t>
    <rPh sb="1" eb="2">
      <t>カイ</t>
    </rPh>
    <rPh sb="2" eb="3">
      <t>タ</t>
    </rPh>
    <phoneticPr fontId="1"/>
  </si>
  <si>
    <t>重い建物</t>
    <rPh sb="0" eb="1">
      <t>オモ</t>
    </rPh>
    <rPh sb="2" eb="4">
      <t>タテモノ</t>
    </rPh>
    <phoneticPr fontId="1"/>
  </si>
  <si>
    <t>非常に重い建物</t>
    <rPh sb="0" eb="2">
      <t>ヒジョウ</t>
    </rPh>
    <rPh sb="3" eb="4">
      <t>オモ</t>
    </rPh>
    <rPh sb="5" eb="7">
      <t>タテモノ</t>
    </rPh>
    <phoneticPr fontId="1"/>
  </si>
  <si>
    <t>床面積当たりの重量（KN/m2）</t>
    <rPh sb="0" eb="1">
      <t>ユカ</t>
    </rPh>
    <rPh sb="1" eb="3">
      <t>メンセキ</t>
    </rPh>
    <rPh sb="3" eb="4">
      <t>ア</t>
    </rPh>
    <rPh sb="7" eb="9">
      <t>ジュウリョウ</t>
    </rPh>
    <phoneticPr fontId="1"/>
  </si>
  <si>
    <t>1層目</t>
    <rPh sb="1" eb="2">
      <t>ソウ</t>
    </rPh>
    <rPh sb="2" eb="3">
      <t>メ</t>
    </rPh>
    <phoneticPr fontId="1"/>
  </si>
  <si>
    <t>２層目</t>
    <rPh sb="1" eb="2">
      <t>ソウ</t>
    </rPh>
    <rPh sb="2" eb="3">
      <t>メ</t>
    </rPh>
    <phoneticPr fontId="1"/>
  </si>
  <si>
    <t>３層目</t>
    <rPh sb="1" eb="2">
      <t>ソウ</t>
    </rPh>
    <rPh sb="2" eb="3">
      <t>メ</t>
    </rPh>
    <phoneticPr fontId="1"/>
  </si>
  <si>
    <t>建物分割</t>
    <rPh sb="0" eb="2">
      <t>タテモノ</t>
    </rPh>
    <rPh sb="2" eb="4">
      <t>ブンカツ</t>
    </rPh>
    <phoneticPr fontId="1"/>
  </si>
  <si>
    <t>Y</t>
    <phoneticPr fontId="1"/>
  </si>
  <si>
    <t>1階</t>
    <rPh sb="1" eb="2">
      <t>カイ</t>
    </rPh>
    <phoneticPr fontId="1"/>
  </si>
  <si>
    <t>３階建て</t>
    <rPh sb="1" eb="2">
      <t>カイ</t>
    </rPh>
    <rPh sb="2" eb="3">
      <t>タ</t>
    </rPh>
    <phoneticPr fontId="1"/>
  </si>
  <si>
    <t>xg</t>
    <phoneticPr fontId="1"/>
  </si>
  <si>
    <t>yg</t>
    <phoneticPr fontId="1"/>
  </si>
  <si>
    <t>床仕様</t>
    <rPh sb="0" eb="1">
      <t>ユカ</t>
    </rPh>
    <rPh sb="1" eb="3">
      <t>シヨウ</t>
    </rPh>
    <phoneticPr fontId="1"/>
  </si>
  <si>
    <t>Ⅰ</t>
    <phoneticPr fontId="1"/>
  </si>
  <si>
    <t>Ⅱ</t>
    <phoneticPr fontId="1"/>
  </si>
  <si>
    <t>Ⅲ</t>
    <phoneticPr fontId="1"/>
  </si>
  <si>
    <t>診断項目</t>
    <rPh sb="0" eb="2">
      <t>シンダン</t>
    </rPh>
    <rPh sb="2" eb="4">
      <t>コウモク</t>
    </rPh>
    <phoneticPr fontId="1"/>
  </si>
  <si>
    <t>合板</t>
    <rPh sb="0" eb="2">
      <t>ゴウバン</t>
    </rPh>
    <phoneticPr fontId="1"/>
  </si>
  <si>
    <t>火打ち+荒板</t>
    <rPh sb="0" eb="1">
      <t>ヒ</t>
    </rPh>
    <rPh sb="1" eb="2">
      <t>ウ</t>
    </rPh>
    <rPh sb="4" eb="5">
      <t>アラ</t>
    </rPh>
    <rPh sb="5" eb="6">
      <t>イタ</t>
    </rPh>
    <phoneticPr fontId="1"/>
  </si>
  <si>
    <t>火打ちなし</t>
    <rPh sb="0" eb="1">
      <t>ヒ</t>
    </rPh>
    <rPh sb="1" eb="2">
      <t>ウ</t>
    </rPh>
    <phoneticPr fontId="1"/>
  </si>
  <si>
    <t>想定する床倍率</t>
    <rPh sb="0" eb="2">
      <t>ソウテイ</t>
    </rPh>
    <rPh sb="4" eb="5">
      <t>ユカ</t>
    </rPh>
    <rPh sb="5" eb="7">
      <t>バイリツ</t>
    </rPh>
    <phoneticPr fontId="1"/>
  </si>
  <si>
    <t>0.5以上1.0未満</t>
    <rPh sb="3" eb="5">
      <t>イジョウ</t>
    </rPh>
    <rPh sb="8" eb="10">
      <t>ミマン</t>
    </rPh>
    <phoneticPr fontId="1"/>
  </si>
  <si>
    <t>0.5未満</t>
    <rPh sb="3" eb="5">
      <t>ミマン</t>
    </rPh>
    <phoneticPr fontId="1"/>
  </si>
  <si>
    <t>Re&lt;0.15</t>
    <phoneticPr fontId="1"/>
  </si>
  <si>
    <t>0.15≦Re&lt;0.3</t>
    <phoneticPr fontId="1"/>
  </si>
  <si>
    <t>0.3≦Re&lt;0.45</t>
    <phoneticPr fontId="1"/>
  </si>
  <si>
    <t>0.45≦Re&lt;0.6</t>
    <phoneticPr fontId="1"/>
  </si>
  <si>
    <t>0.60≦Re</t>
    <phoneticPr fontId="1"/>
  </si>
  <si>
    <t>（3.3-Re)/6</t>
    <phoneticPr fontId="1"/>
  </si>
  <si>
    <t>（3.3-Re)/[3（3.33Re+0.5）]</t>
    <phoneticPr fontId="1"/>
  </si>
  <si>
    <t>（3.6-2Re)/[3（3.33Re+0.5）]</t>
    <phoneticPr fontId="1"/>
  </si>
  <si>
    <t>（2.3-Re)/[2（3.33Re+0.5）]</t>
    <phoneticPr fontId="1"/>
  </si>
  <si>
    <t>（2.3-Re)/4</t>
    <phoneticPr fontId="1"/>
  </si>
  <si>
    <t>（3.6-2Re)/6</t>
    <phoneticPr fontId="1"/>
  </si>
  <si>
    <t>ｍ</t>
    <phoneticPr fontId="1"/>
  </si>
  <si>
    <t>方向</t>
    <rPh sb="0" eb="2">
      <t>ホウコウ</t>
    </rPh>
    <phoneticPr fontId="1"/>
  </si>
  <si>
    <t>領域</t>
    <rPh sb="0" eb="2">
      <t>リョウイキ</t>
    </rPh>
    <phoneticPr fontId="1"/>
  </si>
  <si>
    <t>通り符号</t>
    <rPh sb="0" eb="1">
      <t>トオ</t>
    </rPh>
    <rPh sb="2" eb="4">
      <t>フゴウ</t>
    </rPh>
    <phoneticPr fontId="1"/>
  </si>
  <si>
    <t>通り</t>
    <rPh sb="0" eb="1">
      <t>トオ</t>
    </rPh>
    <phoneticPr fontId="1"/>
  </si>
  <si>
    <t>スパン</t>
    <phoneticPr fontId="1"/>
  </si>
  <si>
    <t>m</t>
    <phoneticPr fontId="1"/>
  </si>
  <si>
    <t>通り番号</t>
    <rPh sb="0" eb="1">
      <t>トオ</t>
    </rPh>
    <rPh sb="2" eb="4">
      <t>バンゴウ</t>
    </rPh>
    <phoneticPr fontId="1"/>
  </si>
  <si>
    <t>通り番号</t>
    <rPh sb="0" eb="1">
      <t>トオ</t>
    </rPh>
    <rPh sb="2" eb="4">
      <t>バンゴウ</t>
    </rPh>
    <phoneticPr fontId="1"/>
  </si>
  <si>
    <t>Re</t>
    <phoneticPr fontId="1"/>
  </si>
  <si>
    <t>Ⅰ</t>
    <phoneticPr fontId="1"/>
  </si>
  <si>
    <t>Ⅱ</t>
    <phoneticPr fontId="1"/>
  </si>
  <si>
    <t>Ⅲ</t>
    <phoneticPr fontId="1"/>
  </si>
  <si>
    <t>ｍ</t>
    <phoneticPr fontId="1"/>
  </si>
  <si>
    <t>建物仕様</t>
    <rPh sb="0" eb="2">
      <t>タテモノ</t>
    </rPh>
    <rPh sb="2" eb="4">
      <t>シヨウ</t>
    </rPh>
    <phoneticPr fontId="1"/>
  </si>
  <si>
    <t>簡易重量算出番号</t>
    <rPh sb="0" eb="2">
      <t>カンイ</t>
    </rPh>
    <rPh sb="2" eb="4">
      <t>ジュウリョウ</t>
    </rPh>
    <rPh sb="4" eb="6">
      <t>サンシュツ</t>
    </rPh>
    <rPh sb="6" eb="8">
      <t>バンゴウ</t>
    </rPh>
    <phoneticPr fontId="1"/>
  </si>
  <si>
    <t>A11</t>
    <phoneticPr fontId="1"/>
  </si>
  <si>
    <t>A12</t>
    <phoneticPr fontId="1"/>
  </si>
  <si>
    <t>A13</t>
    <phoneticPr fontId="1"/>
  </si>
  <si>
    <t>A14</t>
    <phoneticPr fontId="1"/>
  </si>
  <si>
    <t>A15</t>
    <phoneticPr fontId="1"/>
  </si>
  <si>
    <t>A16</t>
    <phoneticPr fontId="1"/>
  </si>
  <si>
    <t>A17</t>
    <phoneticPr fontId="1"/>
  </si>
  <si>
    <t>A18</t>
    <phoneticPr fontId="1"/>
  </si>
  <si>
    <t>A19</t>
    <phoneticPr fontId="1"/>
  </si>
  <si>
    <t>A21</t>
    <phoneticPr fontId="1"/>
  </si>
  <si>
    <t>A2i・y2i</t>
    <phoneticPr fontId="1"/>
  </si>
  <si>
    <t>A1i・x1i</t>
    <phoneticPr fontId="1"/>
  </si>
  <si>
    <t>A2i・x2i</t>
    <phoneticPr fontId="1"/>
  </si>
  <si>
    <t>A1i・y1i</t>
    <phoneticPr fontId="1"/>
  </si>
  <si>
    <t>A1i</t>
    <phoneticPr fontId="1"/>
  </si>
  <si>
    <t>A2i</t>
    <phoneticPr fontId="1"/>
  </si>
  <si>
    <t>Qwi×ｙ</t>
    <phoneticPr fontId="1"/>
  </si>
  <si>
    <t>ys=</t>
    <phoneticPr fontId="1"/>
  </si>
  <si>
    <t>X位置</t>
    <rPh sb="1" eb="3">
      <t>イチ</t>
    </rPh>
    <phoneticPr fontId="1"/>
  </si>
  <si>
    <t>Y位置</t>
    <rPh sb="1" eb="3">
      <t>イチ</t>
    </rPh>
    <phoneticPr fontId="1"/>
  </si>
  <si>
    <t>壁No</t>
    <rPh sb="0" eb="1">
      <t>カベ</t>
    </rPh>
    <phoneticPr fontId="1"/>
  </si>
  <si>
    <t>ブロック</t>
    <phoneticPr fontId="1"/>
  </si>
  <si>
    <t>Qwi×x</t>
    <phoneticPr fontId="1"/>
  </si>
  <si>
    <t>剛心距離</t>
    <rPh sb="0" eb="1">
      <t>ゴウ</t>
    </rPh>
    <rPh sb="1" eb="2">
      <t>シン</t>
    </rPh>
    <rPh sb="2" eb="4">
      <t>キョリ</t>
    </rPh>
    <phoneticPr fontId="1"/>
  </si>
  <si>
    <t>偏心距離</t>
    <rPh sb="0" eb="2">
      <t>ヘンシン</t>
    </rPh>
    <rPh sb="2" eb="4">
      <t>キョリ</t>
    </rPh>
    <phoneticPr fontId="1"/>
  </si>
  <si>
    <t>重心距離</t>
    <rPh sb="0" eb="2">
      <t>ジュウシン</t>
    </rPh>
    <rPh sb="2" eb="4">
      <t>キョリ</t>
    </rPh>
    <phoneticPr fontId="1"/>
  </si>
  <si>
    <t>yg=</t>
    <phoneticPr fontId="1"/>
  </si>
  <si>
    <t>弾力半径</t>
    <rPh sb="0" eb="2">
      <t>ダンリョク</t>
    </rPh>
    <rPh sb="2" eb="4">
      <t>ハンケイ</t>
    </rPh>
    <phoneticPr fontId="1"/>
  </si>
  <si>
    <t>rex=</t>
    <phoneticPr fontId="1"/>
  </si>
  <si>
    <t>偏心率</t>
    <rPh sb="0" eb="2">
      <t>ヘンシン</t>
    </rPh>
    <rPh sb="2" eb="3">
      <t>リツ</t>
    </rPh>
    <phoneticPr fontId="1"/>
  </si>
  <si>
    <t>Rex=</t>
    <phoneticPr fontId="1"/>
  </si>
  <si>
    <t>（建物名称）</t>
    <rPh sb="1" eb="3">
      <t>タテモノ</t>
    </rPh>
    <rPh sb="3" eb="5">
      <t>メイショウ</t>
    </rPh>
    <phoneticPr fontId="4"/>
  </si>
  <si>
    <t>精算法　：　各階の床面積を考慮した必要耐力の算出法</t>
    <rPh sb="0" eb="2">
      <t>セイサン</t>
    </rPh>
    <rPh sb="2" eb="3">
      <t>ホウ</t>
    </rPh>
    <rPh sb="6" eb="7">
      <t>カク</t>
    </rPh>
    <rPh sb="7" eb="8">
      <t>カイ</t>
    </rPh>
    <rPh sb="9" eb="10">
      <t>ユカ</t>
    </rPh>
    <rPh sb="10" eb="12">
      <t>メンセキ</t>
    </rPh>
    <rPh sb="13" eb="15">
      <t>コウリョ</t>
    </rPh>
    <rPh sb="17" eb="19">
      <t>ヒツヨウ</t>
    </rPh>
    <rPh sb="19" eb="21">
      <t>タイリョク</t>
    </rPh>
    <rPh sb="22" eb="24">
      <t>サンシュツ</t>
    </rPh>
    <rPh sb="24" eb="25">
      <t>ホウ</t>
    </rPh>
    <phoneticPr fontId="4"/>
  </si>
  <si>
    <t>【１．精算法による必要耐力の算出】</t>
    <rPh sb="3" eb="5">
      <t>セイサン</t>
    </rPh>
    <rPh sb="5" eb="6">
      <t>ホウ</t>
    </rPh>
    <rPh sb="9" eb="11">
      <t>ヒツヨウ</t>
    </rPh>
    <rPh sb="11" eb="13">
      <t>タイリョク</t>
    </rPh>
    <rPh sb="14" eb="16">
      <t>サンシュツ</t>
    </rPh>
    <phoneticPr fontId="4"/>
  </si>
  <si>
    <t>ａ．</t>
    <phoneticPr fontId="4"/>
  </si>
  <si>
    <t>2階</t>
    <rPh sb="1" eb="2">
      <t>カイ</t>
    </rPh>
    <phoneticPr fontId="4"/>
  </si>
  <si>
    <t>1階</t>
    <rPh sb="1" eb="2">
      <t>カイ</t>
    </rPh>
    <phoneticPr fontId="4"/>
  </si>
  <si>
    <t>：２階床面積〔㎡）</t>
    <rPh sb="2" eb="3">
      <t>カイ</t>
    </rPh>
    <rPh sb="3" eb="6">
      <t>ユカメンセキ</t>
    </rPh>
    <phoneticPr fontId="4"/>
  </si>
  <si>
    <t>：１階床面積〔㎡）</t>
    <rPh sb="2" eb="3">
      <t>カイ</t>
    </rPh>
    <rPh sb="3" eb="6">
      <t>ユカメンセキ</t>
    </rPh>
    <phoneticPr fontId="4"/>
  </si>
  <si>
    <t>Qs</t>
    <phoneticPr fontId="4"/>
  </si>
  <si>
    <t>：積雪用必要耐力　（kN/㎡）</t>
    <rPh sb="1" eb="3">
      <t>セキセツ</t>
    </rPh>
    <rPh sb="3" eb="4">
      <t>ヨウ</t>
    </rPh>
    <rPh sb="4" eb="6">
      <t>ヒツヨウ</t>
    </rPh>
    <rPh sb="6" eb="8">
      <t>タイリョク</t>
    </rPh>
    <phoneticPr fontId="4"/>
  </si>
  <si>
    <t>Z</t>
    <phoneticPr fontId="4"/>
  </si>
  <si>
    <t>：地域係数</t>
    <rPh sb="1" eb="3">
      <t>チイキ</t>
    </rPh>
    <rPh sb="3" eb="5">
      <t>ケイスウ</t>
    </rPh>
    <phoneticPr fontId="4"/>
  </si>
  <si>
    <t>α</t>
    <phoneticPr fontId="4"/>
  </si>
  <si>
    <t>：軟弱地盤割増係数</t>
    <rPh sb="1" eb="3">
      <t>ナンジャク</t>
    </rPh>
    <rPh sb="3" eb="5">
      <t>ジバン</t>
    </rPh>
    <rPh sb="5" eb="7">
      <t>ワリマシ</t>
    </rPh>
    <rPh sb="7" eb="9">
      <t>ケイスウ</t>
    </rPh>
    <phoneticPr fontId="4"/>
  </si>
  <si>
    <t>β</t>
    <phoneticPr fontId="4"/>
  </si>
  <si>
    <t>：形状割増係数</t>
    <rPh sb="1" eb="3">
      <t>ケイジョウ</t>
    </rPh>
    <rPh sb="3" eb="5">
      <t>ワリマシ</t>
    </rPh>
    <rPh sb="5" eb="7">
      <t>ケイスウ</t>
    </rPh>
    <phoneticPr fontId="4"/>
  </si>
  <si>
    <t>γ</t>
    <phoneticPr fontId="4"/>
  </si>
  <si>
    <t>：混構造割増係数</t>
    <rPh sb="1" eb="2">
      <t>コン</t>
    </rPh>
    <rPh sb="2" eb="4">
      <t>コウゾウ</t>
    </rPh>
    <rPh sb="4" eb="6">
      <t>ワリマシ</t>
    </rPh>
    <rPh sb="6" eb="8">
      <t>ケイスウ</t>
    </rPh>
    <phoneticPr fontId="4"/>
  </si>
  <si>
    <t>δ</t>
    <phoneticPr fontId="4"/>
  </si>
  <si>
    <t>：短辺長さによる割増係数</t>
    <rPh sb="1" eb="3">
      <t>タンペン</t>
    </rPh>
    <rPh sb="3" eb="4">
      <t>ナガ</t>
    </rPh>
    <rPh sb="8" eb="10">
      <t>ワリマシ</t>
    </rPh>
    <rPh sb="10" eb="12">
      <t>ケイスウ</t>
    </rPh>
    <phoneticPr fontId="4"/>
  </si>
  <si>
    <t>（２階の短辺の長さ）</t>
    <rPh sb="2" eb="3">
      <t>カイ</t>
    </rPh>
    <rPh sb="4" eb="6">
      <t>タンペン</t>
    </rPh>
    <rPh sb="7" eb="8">
      <t>ナガ</t>
    </rPh>
    <phoneticPr fontId="4"/>
  </si>
  <si>
    <t>（6.0ｍ以上：1.00　　4.0ｍ以上6.0ｍ未満：1.15　　4.0ｍ未満：1.30）</t>
    <rPh sb="5" eb="7">
      <t>イジョウ</t>
    </rPh>
    <rPh sb="18" eb="20">
      <t>イジョウ</t>
    </rPh>
    <rPh sb="24" eb="26">
      <t>ミマン</t>
    </rPh>
    <rPh sb="37" eb="39">
      <t>ミマン</t>
    </rPh>
    <phoneticPr fontId="4"/>
  </si>
  <si>
    <t>ｂ．</t>
    <phoneticPr fontId="4"/>
  </si>
  <si>
    <t>Qｒ2＝Ａ2 ｘ （Qy2 + Qs） ｘ Ｚ ｘ α ｘ β ｘ γ</t>
    <phoneticPr fontId="4"/>
  </si>
  <si>
    <t>Qｒ1＝Ａ1 ｘ （Qy1 + Qs） ｘ Ｚ ｘ α ｘ β ｘ γ ｘ δ</t>
    <phoneticPr fontId="4"/>
  </si>
  <si>
    <t>階</t>
    <rPh sb="0" eb="1">
      <t>カイ</t>
    </rPh>
    <phoneticPr fontId="4"/>
  </si>
  <si>
    <t>方向</t>
    <rPh sb="0" eb="2">
      <t>ホウコウ</t>
    </rPh>
    <phoneticPr fontId="4"/>
  </si>
  <si>
    <t>床仕様</t>
    <rPh sb="0" eb="1">
      <t>ユカ</t>
    </rPh>
    <rPh sb="1" eb="3">
      <t>シヨウ</t>
    </rPh>
    <phoneticPr fontId="4"/>
  </si>
  <si>
    <t>床仕様番号　Ⅰ：1、Ⅱ：2、Ⅲ、3</t>
    <rPh sb="0" eb="1">
      <t>ユカ</t>
    </rPh>
    <rPh sb="1" eb="3">
      <t>シヨウ</t>
    </rPh>
    <rPh sb="3" eb="5">
      <t>バンゴウ</t>
    </rPh>
    <phoneticPr fontId="4"/>
  </si>
  <si>
    <t>低減係数</t>
    <rPh sb="0" eb="2">
      <t>テイゲン</t>
    </rPh>
    <rPh sb="2" eb="4">
      <t>ケイスウ</t>
    </rPh>
    <phoneticPr fontId="4"/>
  </si>
  <si>
    <t>Ｘ</t>
    <phoneticPr fontId="4"/>
  </si>
  <si>
    <t>Ｙ</t>
    <phoneticPr fontId="4"/>
  </si>
  <si>
    <t>Ｘ</t>
    <phoneticPr fontId="4"/>
  </si>
  <si>
    <t>配置などによる</t>
    <rPh sb="0" eb="2">
      <t>ハイチ</t>
    </rPh>
    <phoneticPr fontId="4"/>
  </si>
  <si>
    <t>劣化度</t>
    <rPh sb="0" eb="2">
      <t>レッカ</t>
    </rPh>
    <rPh sb="2" eb="3">
      <t>ド</t>
    </rPh>
    <phoneticPr fontId="4"/>
  </si>
  <si>
    <t>必要耐力</t>
    <rPh sb="0" eb="2">
      <t>ヒツヨウ</t>
    </rPh>
    <rPh sb="2" eb="4">
      <t>タイリョク</t>
    </rPh>
    <phoneticPr fontId="4"/>
  </si>
  <si>
    <t>上部構造評点</t>
    <rPh sb="0" eb="2">
      <t>ジョウブ</t>
    </rPh>
    <rPh sb="2" eb="4">
      <t>コウゾウ</t>
    </rPh>
    <rPh sb="4" eb="6">
      <t>ヒョウテン</t>
    </rPh>
    <phoneticPr fontId="4"/>
  </si>
  <si>
    <t>Ｘ</t>
    <phoneticPr fontId="4"/>
  </si>
  <si>
    <t>Ｘ</t>
    <phoneticPr fontId="4"/>
  </si>
  <si>
    <t>上部構造評点のうち最小の値（修正値）</t>
    <rPh sb="0" eb="2">
      <t>ジョウブ</t>
    </rPh>
    <rPh sb="2" eb="4">
      <t>コウゾウ</t>
    </rPh>
    <rPh sb="4" eb="6">
      <t>ヒョウテン</t>
    </rPh>
    <rPh sb="9" eb="11">
      <t>サイショウ</t>
    </rPh>
    <rPh sb="12" eb="13">
      <t>アタイ</t>
    </rPh>
    <rPh sb="14" eb="16">
      <t>シュウセイ</t>
    </rPh>
    <rPh sb="16" eb="17">
      <t>チ</t>
    </rPh>
    <phoneticPr fontId="4"/>
  </si>
  <si>
    <t>注)　1.5以上：倒壊しない　1.0～1.5未満：一応倒壊しない　0.7～1.0未満：倒壊する可能性がある　0.7未満：倒壊する可能性が高い</t>
    <rPh sb="0" eb="1">
      <t>チュウ</t>
    </rPh>
    <rPh sb="6" eb="8">
      <t>イジョウ</t>
    </rPh>
    <rPh sb="9" eb="11">
      <t>トウカイ</t>
    </rPh>
    <rPh sb="22" eb="24">
      <t>ミマン</t>
    </rPh>
    <rPh sb="25" eb="27">
      <t>イチオウ</t>
    </rPh>
    <rPh sb="27" eb="29">
      <t>トウカイ</t>
    </rPh>
    <rPh sb="40" eb="42">
      <t>ミマン</t>
    </rPh>
    <rPh sb="43" eb="45">
      <t>トウカイ</t>
    </rPh>
    <rPh sb="47" eb="50">
      <t>カノウセイ</t>
    </rPh>
    <rPh sb="57" eb="59">
      <t>ミマン</t>
    </rPh>
    <rPh sb="60" eb="62">
      <t>トウカイ</t>
    </rPh>
    <rPh sb="64" eb="67">
      <t>カノウセイ</t>
    </rPh>
    <rPh sb="68" eb="69">
      <t>タカ</t>
    </rPh>
    <phoneticPr fontId="4"/>
  </si>
  <si>
    <t>低減係数　eKfl</t>
    <rPh sb="0" eb="2">
      <t>テイゲン</t>
    </rPh>
    <rPh sb="2" eb="4">
      <t>ケイスウ</t>
    </rPh>
    <phoneticPr fontId="4"/>
  </si>
  <si>
    <t>dK</t>
    <phoneticPr fontId="4"/>
  </si>
  <si>
    <t>保有する耐力</t>
    <rPh sb="0" eb="2">
      <t>ホユウ</t>
    </rPh>
    <rPh sb="4" eb="6">
      <t>タイリョク</t>
    </rPh>
    <phoneticPr fontId="4"/>
  </si>
  <si>
    <t>edQu＝Qu*eKfl*dk</t>
    <phoneticPr fontId="4"/>
  </si>
  <si>
    <t>Qｒ(kN)</t>
    <phoneticPr fontId="4"/>
  </si>
  <si>
    <t>edQu/Qr</t>
    <phoneticPr fontId="4"/>
  </si>
  <si>
    <t>重心</t>
    <rPh sb="0" eb="2">
      <t>ジュウシン</t>
    </rPh>
    <phoneticPr fontId="1"/>
  </si>
  <si>
    <t>剛心</t>
    <rPh sb="0" eb="1">
      <t>ゴウ</t>
    </rPh>
    <rPh sb="1" eb="2">
      <t>シン</t>
    </rPh>
    <phoneticPr fontId="1"/>
  </si>
  <si>
    <t>偏心距離</t>
    <rPh sb="0" eb="2">
      <t>ヘンシン</t>
    </rPh>
    <rPh sb="2" eb="4">
      <t>キョリ</t>
    </rPh>
    <phoneticPr fontId="1"/>
  </si>
  <si>
    <t>弾力半径</t>
    <rPh sb="0" eb="2">
      <t>ダンリョク</t>
    </rPh>
    <rPh sb="2" eb="4">
      <t>ハンケイ</t>
    </rPh>
    <phoneticPr fontId="1"/>
  </si>
  <si>
    <t>偏心率</t>
    <rPh sb="0" eb="2">
      <t>ヘンシン</t>
    </rPh>
    <rPh sb="2" eb="3">
      <t>リツ</t>
    </rPh>
    <phoneticPr fontId="1"/>
  </si>
  <si>
    <t>劣化度　dk</t>
    <rPh sb="0" eb="2">
      <t>レッカ</t>
    </rPh>
    <rPh sb="2" eb="3">
      <t>ド</t>
    </rPh>
    <phoneticPr fontId="4"/>
  </si>
  <si>
    <t>壁・柱の耐力</t>
    <rPh sb="0" eb="1">
      <t>カベ</t>
    </rPh>
    <rPh sb="2" eb="3">
      <t>ハシラ</t>
    </rPh>
    <rPh sb="4" eb="6">
      <t>タイリョク</t>
    </rPh>
    <phoneticPr fontId="4"/>
  </si>
  <si>
    <t>Qu（KN）</t>
    <phoneticPr fontId="4"/>
  </si>
  <si>
    <t>【２．耐力要素の配置等による低減係数 (偏心率)】</t>
    <rPh sb="3" eb="5">
      <t>タイリョク</t>
    </rPh>
    <rPh sb="5" eb="7">
      <t>ヨウソ</t>
    </rPh>
    <rPh sb="8" eb="10">
      <t>ハイチ</t>
    </rPh>
    <rPh sb="10" eb="11">
      <t>トウ</t>
    </rPh>
    <rPh sb="14" eb="16">
      <t>テイゲン</t>
    </rPh>
    <rPh sb="16" eb="18">
      <t>ケイスウ</t>
    </rPh>
    <rPh sb="20" eb="22">
      <t>ヘンシン</t>
    </rPh>
    <rPh sb="22" eb="23">
      <t>リツ</t>
    </rPh>
    <phoneticPr fontId="4"/>
  </si>
  <si>
    <t>【３．上部構造評価点】</t>
    <rPh sb="3" eb="5">
      <t>ジョウブ</t>
    </rPh>
    <rPh sb="5" eb="7">
      <t>コウゾウ</t>
    </rPh>
    <rPh sb="7" eb="9">
      <t>ヒョウカ</t>
    </rPh>
    <rPh sb="9" eb="10">
      <t>テン</t>
    </rPh>
    <phoneticPr fontId="4"/>
  </si>
  <si>
    <t>Re</t>
    <phoneticPr fontId="1"/>
  </si>
  <si>
    <t>eKfl（Fe）</t>
    <phoneticPr fontId="1"/>
  </si>
  <si>
    <t>Y</t>
    <phoneticPr fontId="1"/>
  </si>
  <si>
    <t>rey=</t>
    <phoneticPr fontId="1"/>
  </si>
  <si>
    <t>Rey=</t>
    <phoneticPr fontId="1"/>
  </si>
  <si>
    <t>建物名称</t>
    <rPh sb="0" eb="2">
      <t>タテモノ</t>
    </rPh>
    <rPh sb="2" eb="4">
      <t>メイショウ</t>
    </rPh>
    <phoneticPr fontId="1"/>
  </si>
  <si>
    <t>所在地</t>
    <rPh sb="0" eb="3">
      <t>ショザイチ</t>
    </rPh>
    <phoneticPr fontId="1"/>
  </si>
  <si>
    <t>竣工年</t>
    <rPh sb="0" eb="2">
      <t>シュンコウ</t>
    </rPh>
    <rPh sb="2" eb="3">
      <t>ネン</t>
    </rPh>
    <phoneticPr fontId="1"/>
  </si>
  <si>
    <t>建物仕様</t>
    <rPh sb="0" eb="2">
      <t>タテモノ</t>
    </rPh>
    <rPh sb="2" eb="4">
      <t>シヨウ</t>
    </rPh>
    <phoneticPr fontId="1"/>
  </si>
  <si>
    <t>地域係数</t>
    <rPh sb="0" eb="2">
      <t>チイキ</t>
    </rPh>
    <rPh sb="2" eb="4">
      <t>ケイスウ</t>
    </rPh>
    <phoneticPr fontId="1"/>
  </si>
  <si>
    <t>地盤による割増</t>
    <rPh sb="0" eb="2">
      <t>ジバン</t>
    </rPh>
    <rPh sb="5" eb="7">
      <t>ワリマシ</t>
    </rPh>
    <phoneticPr fontId="1"/>
  </si>
  <si>
    <t>形状割増係数</t>
    <rPh sb="0" eb="2">
      <t>ケイジョウ</t>
    </rPh>
    <rPh sb="2" eb="4">
      <t>ワリマシ</t>
    </rPh>
    <rPh sb="4" eb="6">
      <t>ケイスウ</t>
    </rPh>
    <phoneticPr fontId="1"/>
  </si>
  <si>
    <t>基礎仕様</t>
    <rPh sb="0" eb="2">
      <t>キソ</t>
    </rPh>
    <rPh sb="2" eb="4">
      <t>シヨウ</t>
    </rPh>
    <phoneticPr fontId="1"/>
  </si>
  <si>
    <t>床仕様</t>
    <rPh sb="0" eb="1">
      <t>ユカ</t>
    </rPh>
    <rPh sb="1" eb="3">
      <t>シヨウ</t>
    </rPh>
    <phoneticPr fontId="1"/>
  </si>
  <si>
    <t>主要な柱の径</t>
    <rPh sb="0" eb="2">
      <t>シュヨウ</t>
    </rPh>
    <rPh sb="3" eb="4">
      <t>ハシラ</t>
    </rPh>
    <rPh sb="5" eb="6">
      <t>ケイ</t>
    </rPh>
    <phoneticPr fontId="1"/>
  </si>
  <si>
    <t>接合部仕様</t>
    <rPh sb="0" eb="2">
      <t>セツゴウ</t>
    </rPh>
    <rPh sb="2" eb="3">
      <t>ブ</t>
    </rPh>
    <rPh sb="3" eb="5">
      <t>シヨウ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</si>
  <si>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</si>
  <si>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</si>
  <si>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</si>
  <si>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</si>
  <si>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</si>
  <si>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</si>
  <si>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</si>
  <si>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</si>
  <si>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</si>
  <si>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</si>
  <si>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</si>
  <si>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</si>
  <si>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床面積</t>
    <rPh sb="0" eb="1">
      <t>ユカ</t>
    </rPh>
    <rPh sb="1" eb="3">
      <t>メンセキ</t>
    </rPh>
    <phoneticPr fontId="1"/>
  </si>
  <si>
    <t>2階</t>
    <rPh sb="1" eb="2">
      <t>カイ</t>
    </rPh>
    <phoneticPr fontId="1"/>
  </si>
  <si>
    <t>1階</t>
    <rPh sb="1" eb="2">
      <t>カイ</t>
    </rPh>
    <phoneticPr fontId="1"/>
  </si>
  <si>
    <t>⑬</t>
    <phoneticPr fontId="1"/>
  </si>
  <si>
    <t>X方向</t>
    <rPh sb="1" eb="3">
      <t>ホウコウ</t>
    </rPh>
    <phoneticPr fontId="1"/>
  </si>
  <si>
    <t>Y方向</t>
    <rPh sb="1" eb="3">
      <t>ホウコウ</t>
    </rPh>
    <phoneticPr fontId="1"/>
  </si>
  <si>
    <t>１．建物概要</t>
    <rPh sb="2" eb="4">
      <t>タテモノ</t>
    </rPh>
    <rPh sb="4" eb="6">
      <t>ガイヨウ</t>
    </rPh>
    <phoneticPr fontId="1"/>
  </si>
  <si>
    <t>ｍ</t>
    <phoneticPr fontId="1"/>
  </si>
  <si>
    <r>
      <t>１－１．床面積あたりの必要耐力　</t>
    </r>
    <r>
      <rPr>
        <b/>
        <sz val="10"/>
        <rFont val="ＭＳ Ｐゴシック"/>
        <family val="3"/>
        <charset val="128"/>
      </rPr>
      <t>Qｙ</t>
    </r>
    <r>
      <rPr>
        <sz val="10"/>
        <color theme="1"/>
        <rFont val="ＭＳ Ｐゴシック"/>
        <family val="3"/>
        <charset val="128"/>
        <scheme val="minor"/>
      </rPr>
      <t>　（kN/㎡）　の算出</t>
    </r>
    <rPh sb="4" eb="5">
      <t>ユカ</t>
    </rPh>
    <rPh sb="5" eb="7">
      <t>メンセキ</t>
    </rPh>
    <rPh sb="11" eb="13">
      <t>ヒツヨウ</t>
    </rPh>
    <rPh sb="13" eb="15">
      <t>タイリョク</t>
    </rPh>
    <rPh sb="27" eb="29">
      <t>サンシュツ</t>
    </rPh>
    <phoneticPr fontId="4"/>
  </si>
  <si>
    <t>Ａ2</t>
    <phoneticPr fontId="4"/>
  </si>
  <si>
    <t>Ａ1</t>
    <phoneticPr fontId="4"/>
  </si>
  <si>
    <t>Qy2</t>
    <phoneticPr fontId="4"/>
  </si>
  <si>
    <t>Qy1</t>
    <phoneticPr fontId="4"/>
  </si>
  <si>
    <r>
      <t>１－2．必要耐力　</t>
    </r>
    <r>
      <rPr>
        <b/>
        <sz val="10"/>
        <rFont val="ＭＳ Ｐゴシック"/>
        <family val="3"/>
        <charset val="128"/>
      </rPr>
      <t>Qｒ</t>
    </r>
    <r>
      <rPr>
        <sz val="10"/>
        <color theme="1"/>
        <rFont val="ＭＳ Ｐゴシック"/>
        <family val="3"/>
        <charset val="128"/>
        <scheme val="minor"/>
      </rPr>
      <t>　（kN）　の算出</t>
    </r>
    <rPh sb="4" eb="6">
      <t>ヒツヨウ</t>
    </rPh>
    <rPh sb="6" eb="8">
      <t>タイリョク</t>
    </rPh>
    <rPh sb="18" eb="20">
      <t>サンシュツ</t>
    </rPh>
    <phoneticPr fontId="4"/>
  </si>
  <si>
    <t>Qｒ2</t>
    <phoneticPr fontId="4"/>
  </si>
  <si>
    <t>Qｒ1</t>
    <phoneticPr fontId="4"/>
  </si>
  <si>
    <t>階</t>
    <rPh sb="0" eb="1">
      <t>カイ</t>
    </rPh>
    <phoneticPr fontId="1"/>
  </si>
  <si>
    <t>Xs=</t>
    <phoneticPr fontId="1"/>
  </si>
  <si>
    <t>Xg=</t>
    <phoneticPr fontId="1"/>
  </si>
  <si>
    <t>1/（3.33Re+0.5)</t>
    <phoneticPr fontId="1"/>
  </si>
  <si>
    <t>ｇ</t>
    <phoneticPr fontId="1"/>
  </si>
  <si>
    <t>s</t>
    <phoneticPr fontId="4"/>
  </si>
  <si>
    <t>e</t>
    <phoneticPr fontId="1"/>
  </si>
  <si>
    <t>r</t>
    <phoneticPr fontId="1"/>
  </si>
  <si>
    <t>2階　X</t>
    <rPh sb="1" eb="2">
      <t>カイ</t>
    </rPh>
    <phoneticPr fontId="1"/>
  </si>
  <si>
    <t>2階　Y</t>
    <rPh sb="1" eb="2">
      <t>カイ</t>
    </rPh>
    <phoneticPr fontId="1"/>
  </si>
  <si>
    <t>１階　X</t>
    <rPh sb="1" eb="2">
      <t>カイ</t>
    </rPh>
    <phoneticPr fontId="1"/>
  </si>
  <si>
    <t>1階　Y</t>
    <rPh sb="1" eb="2">
      <t>カイ</t>
    </rPh>
    <phoneticPr fontId="1"/>
  </si>
  <si>
    <t>mm</t>
    <phoneticPr fontId="1"/>
  </si>
  <si>
    <t>Σ</t>
    <phoneticPr fontId="1"/>
  </si>
  <si>
    <r>
      <t>ｍ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</si>
  <si>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1:軽い建物、2:重い建物、3:非常に重い建物</t>
    <rPh sb="2" eb="3">
      <t>カル</t>
    </rPh>
    <rPh sb="4" eb="6">
      <t>タテモノ</t>
    </rPh>
    <rPh sb="9" eb="10">
      <t>オモ</t>
    </rPh>
    <rPh sb="11" eb="13">
      <t>タテモノ</t>
    </rPh>
    <rPh sb="16" eb="18">
      <t>ヒジョウ</t>
    </rPh>
    <rPh sb="19" eb="20">
      <t>オモ</t>
    </rPh>
    <rPh sb="21" eb="23">
      <t>タテモノ</t>
    </rPh>
    <phoneticPr fontId="1"/>
  </si>
  <si>
    <t>混構造割増係数</t>
    <rPh sb="0" eb="1">
      <t>コン</t>
    </rPh>
    <rPh sb="1" eb="3">
      <t>コウゾウ</t>
    </rPh>
    <rPh sb="3" eb="5">
      <t>ワリマシ</t>
    </rPh>
    <rPh sb="5" eb="7">
      <t>ケイスウ</t>
    </rPh>
    <phoneticPr fontId="4"/>
  </si>
  <si>
    <t>短辺長さによる割増係数</t>
    <rPh sb="0" eb="2">
      <t>タンペン</t>
    </rPh>
    <rPh sb="2" eb="3">
      <t>ナガ</t>
    </rPh>
    <rPh sb="7" eb="9">
      <t>ワリマシ</t>
    </rPh>
    <rPh sb="9" eb="11">
      <t>ケイスウ</t>
    </rPh>
    <phoneticPr fontId="4"/>
  </si>
  <si>
    <t>積雪深さ　  (ｍ)</t>
    <rPh sb="0" eb="2">
      <t>セキセツ</t>
    </rPh>
    <rPh sb="2" eb="3">
      <t>フカ</t>
    </rPh>
    <phoneticPr fontId="1"/>
  </si>
  <si>
    <t>２階の短辺の長さ    6.0ｍ以上：1.00、4.0ｍ以上6.0ｍ未満：1.15、4.0ｍ未満：1.30</t>
    <phoneticPr fontId="1"/>
  </si>
  <si>
    <t>1;診断、2;補強計画</t>
    <rPh sb="2" eb="4">
      <t>シンダン</t>
    </rPh>
    <rPh sb="7" eb="9">
      <t>ホキョウ</t>
    </rPh>
    <rPh sb="9" eb="11">
      <t>ケイカク</t>
    </rPh>
    <phoneticPr fontId="1"/>
  </si>
  <si>
    <t>Σ</t>
    <phoneticPr fontId="1"/>
  </si>
  <si>
    <t>（０，０）</t>
    <phoneticPr fontId="1"/>
  </si>
  <si>
    <t>Ｙ</t>
    <phoneticPr fontId="1"/>
  </si>
  <si>
    <t>Ｘ　</t>
    <phoneticPr fontId="1"/>
  </si>
  <si>
    <t>BX</t>
    <phoneticPr fontId="1"/>
  </si>
  <si>
    <t>DY</t>
    <phoneticPr fontId="1"/>
  </si>
  <si>
    <t>註)下階から「層」を数える。各建物の最上階は、屋根の重量を示す。</t>
    <rPh sb="0" eb="1">
      <t>チュウ</t>
    </rPh>
    <rPh sb="2" eb="3">
      <t>シタ</t>
    </rPh>
    <rPh sb="3" eb="4">
      <t>カイ</t>
    </rPh>
    <rPh sb="10" eb="11">
      <t>カゾ</t>
    </rPh>
    <rPh sb="14" eb="15">
      <t>カク</t>
    </rPh>
    <rPh sb="15" eb="17">
      <t>タテモノ</t>
    </rPh>
    <rPh sb="18" eb="21">
      <t>サイジョウカイ</t>
    </rPh>
    <rPh sb="23" eb="25">
      <t>ヤネ</t>
    </rPh>
    <rPh sb="26" eb="28">
      <t>ジュウリョウ</t>
    </rPh>
    <rPh sb="29" eb="30">
      <t>シメ</t>
    </rPh>
    <phoneticPr fontId="1"/>
  </si>
  <si>
    <t>1階A1iブロック</t>
    <rPh sb="1" eb="2">
      <t>カイ</t>
    </rPh>
    <phoneticPr fontId="1"/>
  </si>
  <si>
    <t>ey=</t>
    <phoneticPr fontId="1"/>
  </si>
  <si>
    <t>ex=</t>
    <phoneticPr fontId="1"/>
  </si>
  <si>
    <r>
      <t>Qwi(y-ys)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phoneticPr fontId="1"/>
  </si>
  <si>
    <r>
      <t>Qwi(x-xs)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phoneticPr fontId="1"/>
  </si>
  <si>
    <t>（4m以上の吹き抜けなし）</t>
    <phoneticPr fontId="1"/>
  </si>
  <si>
    <t>2）　重心の算定</t>
    <rPh sb="3" eb="5">
      <t>ジュウシン</t>
    </rPh>
    <rPh sb="6" eb="8">
      <t>サンテイ</t>
    </rPh>
    <phoneticPr fontId="1"/>
  </si>
  <si>
    <t>yo～y1i</t>
    <phoneticPr fontId="1"/>
  </si>
  <si>
    <t>xo～x1i</t>
    <phoneticPr fontId="1"/>
  </si>
  <si>
    <t>ｙｇ　：Ｘ方向壁の座標軸から重心距離までの距離</t>
    <rPh sb="5" eb="7">
      <t>ホウコウ</t>
    </rPh>
    <rPh sb="7" eb="8">
      <t>カベ</t>
    </rPh>
    <rPh sb="9" eb="12">
      <t>ザヒョウジク</t>
    </rPh>
    <rPh sb="14" eb="16">
      <t>ジュウシン</t>
    </rPh>
    <rPh sb="16" eb="18">
      <t>キョリ</t>
    </rPh>
    <rPh sb="21" eb="23">
      <t>キョリ</t>
    </rPh>
    <phoneticPr fontId="1"/>
  </si>
  <si>
    <t>xｇ　：Y方向壁の座標軸から重心距離までの距離</t>
    <rPh sb="5" eb="7">
      <t>ホウコウ</t>
    </rPh>
    <rPh sb="7" eb="8">
      <t>カベ</t>
    </rPh>
    <rPh sb="9" eb="12">
      <t>ザヒョウジク</t>
    </rPh>
    <rPh sb="14" eb="16">
      <t>ジュウシン</t>
    </rPh>
    <rPh sb="16" eb="18">
      <t>キョリ</t>
    </rPh>
    <rPh sb="21" eb="23">
      <t>キョリ</t>
    </rPh>
    <phoneticPr fontId="1"/>
  </si>
  <si>
    <t>重心算定簡易重量</t>
    <rPh sb="0" eb="2">
      <t>ジュウシン</t>
    </rPh>
    <rPh sb="2" eb="4">
      <t>サンテイ</t>
    </rPh>
    <rPh sb="4" eb="6">
      <t>カンイ</t>
    </rPh>
    <rPh sb="6" eb="8">
      <t>ジュウリョウ</t>
    </rPh>
    <phoneticPr fontId="1"/>
  </si>
  <si>
    <t>ブロック図左下位置</t>
    <rPh sb="4" eb="5">
      <t>ズ</t>
    </rPh>
    <rPh sb="5" eb="7">
      <t>ヒダリシタ</t>
    </rPh>
    <rPh sb="7" eb="9">
      <t>イチ</t>
    </rPh>
    <phoneticPr fontId="1"/>
  </si>
  <si>
    <t>ey=</t>
    <phoneticPr fontId="1"/>
  </si>
  <si>
    <t>ex=</t>
    <phoneticPr fontId="1"/>
  </si>
  <si>
    <t>sKj (sKa)</t>
    <phoneticPr fontId="1"/>
  </si>
  <si>
    <t>kN</t>
    <phoneticPr fontId="1"/>
  </si>
  <si>
    <t>KN</t>
    <phoneticPr fontId="1"/>
  </si>
  <si>
    <t>通り　番号</t>
    <rPh sb="0" eb="1">
      <t>トオ</t>
    </rPh>
    <rPh sb="3" eb="5">
      <t>バンゴウ</t>
    </rPh>
    <phoneticPr fontId="1"/>
  </si>
  <si>
    <t>備考</t>
    <rPh sb="0" eb="2">
      <t>ビコウ</t>
    </rPh>
    <phoneticPr fontId="1"/>
  </si>
  <si>
    <t>0-35</t>
    <phoneticPr fontId="1"/>
  </si>
  <si>
    <t>100-135</t>
    <phoneticPr fontId="1"/>
  </si>
  <si>
    <r>
      <rPr>
        <vertAlign val="subscript"/>
        <sz val="10"/>
        <rFont val="ＭＳ Ｐゴシック"/>
        <family val="3"/>
        <charset val="128"/>
      </rPr>
      <t>Q</t>
    </r>
    <r>
      <rPr>
        <sz val="10"/>
        <rFont val="ＭＳ Ｐゴシック"/>
        <family val="3"/>
        <charset val="128"/>
      </rPr>
      <t>K</t>
    </r>
    <r>
      <rPr>
        <vertAlign val="subscript"/>
        <sz val="10"/>
        <rFont val="ＭＳ Ｐゴシック"/>
        <family val="3"/>
        <charset val="128"/>
      </rPr>
      <t>fl1</t>
    </r>
    <phoneticPr fontId="4"/>
  </si>
  <si>
    <r>
      <rPr>
        <vertAlign val="subscript"/>
        <sz val="10"/>
        <rFont val="ＭＳ Ｐゴシック"/>
        <family val="3"/>
        <charset val="128"/>
      </rPr>
      <t>Q</t>
    </r>
    <r>
      <rPr>
        <sz val="10"/>
        <rFont val="ＭＳ Ｐゴシック"/>
        <family val="3"/>
        <charset val="128"/>
      </rPr>
      <t>K</t>
    </r>
    <r>
      <rPr>
        <vertAlign val="subscript"/>
        <sz val="10"/>
        <rFont val="ＭＳ Ｐゴシック"/>
        <family val="3"/>
        <charset val="128"/>
      </rPr>
      <t>fl2</t>
    </r>
    <phoneticPr fontId="4"/>
  </si>
  <si>
    <r>
      <t>R</t>
    </r>
    <r>
      <rPr>
        <vertAlign val="subscript"/>
        <sz val="10"/>
        <rFont val="ＭＳ Ｐゴシック"/>
        <family val="3"/>
        <charset val="128"/>
      </rPr>
      <t>ｆ1</t>
    </r>
    <phoneticPr fontId="4"/>
  </si>
  <si>
    <t>1:軽い屋根; 2:重い屋根 3:非常に重い建物</t>
    <rPh sb="2" eb="3">
      <t>カル</t>
    </rPh>
    <rPh sb="4" eb="6">
      <t>ヤネ</t>
    </rPh>
    <rPh sb="17" eb="19">
      <t>ヒジョウ</t>
    </rPh>
    <rPh sb="20" eb="21">
      <t>オモ</t>
    </rPh>
    <rPh sb="22" eb="24">
      <t>タテモノ</t>
    </rPh>
    <phoneticPr fontId="4"/>
  </si>
  <si>
    <t>Qwi（Qu）</t>
    <phoneticPr fontId="1"/>
  </si>
  <si>
    <t>築10年以上</t>
    <rPh sb="0" eb="1">
      <t>チク</t>
    </rPh>
    <rPh sb="3" eb="4">
      <t>ネン</t>
    </rPh>
    <rPh sb="4" eb="6">
      <t>イジョウ</t>
    </rPh>
    <phoneticPr fontId="1"/>
  </si>
  <si>
    <t>3-1  1階X方向</t>
    <rPh sb="6" eb="7">
      <t>カイ</t>
    </rPh>
    <rPh sb="8" eb="10">
      <t>ホウコウ</t>
    </rPh>
    <phoneticPr fontId="1"/>
  </si>
  <si>
    <t>3) 剛心の算定</t>
    <rPh sb="3" eb="4">
      <t>ゴウ</t>
    </rPh>
    <rPh sb="4" eb="5">
      <t>シン</t>
    </rPh>
    <rPh sb="6" eb="8">
      <t>サンテイ</t>
    </rPh>
    <phoneticPr fontId="1"/>
  </si>
  <si>
    <t>3-2　1階Y方向</t>
    <phoneticPr fontId="1"/>
  </si>
  <si>
    <t>3-3　2階X方向</t>
    <phoneticPr fontId="1"/>
  </si>
  <si>
    <t>3-4　2階Y方向</t>
    <phoneticPr fontId="1"/>
  </si>
  <si>
    <t>ｙｇ</t>
    <phoneticPr fontId="1"/>
  </si>
  <si>
    <t>ｘｇ</t>
    <phoneticPr fontId="1"/>
  </si>
  <si>
    <t>○○邸</t>
    <rPh sb="2" eb="3">
      <t>テイ</t>
    </rPh>
    <phoneticPr fontId="1"/>
  </si>
  <si>
    <t>金沢市○○</t>
    <rPh sb="0" eb="3">
      <t>カナザワシ</t>
    </rPh>
    <phoneticPr fontId="1"/>
  </si>
  <si>
    <t>X</t>
    <phoneticPr fontId="1"/>
  </si>
  <si>
    <t xml:space="preserve">⑭劣化係数　dk　    </t>
    <rPh sb="1" eb="3">
      <t>レッカ</t>
    </rPh>
    <rPh sb="3" eb="5">
      <t>ケイスウ</t>
    </rPh>
    <phoneticPr fontId="1"/>
  </si>
  <si>
    <t>座標基点からの図心距離</t>
    <rPh sb="0" eb="2">
      <t>ザヒョウ</t>
    </rPh>
    <rPh sb="2" eb="4">
      <t>キテン</t>
    </rPh>
    <rPh sb="7" eb="9">
      <t>ズシン</t>
    </rPh>
    <rPh sb="9" eb="11">
      <t>キョリ</t>
    </rPh>
    <phoneticPr fontId="1"/>
  </si>
  <si>
    <t>座標基点</t>
    <rPh sb="0" eb="2">
      <t>ザヒョウ</t>
    </rPh>
    <rPh sb="2" eb="4">
      <t>キテン</t>
    </rPh>
    <phoneticPr fontId="1"/>
  </si>
  <si>
    <t>座標基点からの距離　ｙ</t>
    <rPh sb="0" eb="2">
      <t>ザヒョウ</t>
    </rPh>
    <rPh sb="2" eb="4">
      <t>キテン</t>
    </rPh>
    <rPh sb="7" eb="9">
      <t>キョリ</t>
    </rPh>
    <phoneticPr fontId="1"/>
  </si>
  <si>
    <t>座標基点からの距離　x</t>
    <rPh sb="0" eb="2">
      <t>ザヒョウ</t>
    </rPh>
    <rPh sb="2" eb="4">
      <t>キテン</t>
    </rPh>
    <rPh sb="7" eb="9">
      <t>キョリ</t>
    </rPh>
    <phoneticPr fontId="1"/>
  </si>
  <si>
    <t>座標基点からの距離</t>
    <rPh sb="0" eb="2">
      <t>ザヒョウ</t>
    </rPh>
    <rPh sb="2" eb="4">
      <t>キテン</t>
    </rPh>
    <rPh sb="7" eb="9">
      <t>キョリ</t>
    </rPh>
    <phoneticPr fontId="1"/>
  </si>
  <si>
    <t>A20</t>
    <phoneticPr fontId="1"/>
  </si>
  <si>
    <t>A22</t>
    <phoneticPr fontId="1"/>
  </si>
  <si>
    <t>A23</t>
    <phoneticPr fontId="1"/>
  </si>
  <si>
    <t>A24</t>
    <phoneticPr fontId="1"/>
  </si>
  <si>
    <t>A25</t>
    <phoneticPr fontId="1"/>
  </si>
  <si>
    <t>A51</t>
    <phoneticPr fontId="1"/>
  </si>
  <si>
    <t>A52</t>
    <phoneticPr fontId="1"/>
  </si>
  <si>
    <t>A53</t>
    <phoneticPr fontId="1"/>
  </si>
  <si>
    <t>A54</t>
    <phoneticPr fontId="1"/>
  </si>
  <si>
    <t>A55</t>
    <phoneticPr fontId="1"/>
  </si>
  <si>
    <t>A56</t>
    <phoneticPr fontId="1"/>
  </si>
  <si>
    <t>A57</t>
    <phoneticPr fontId="1"/>
  </si>
  <si>
    <t>A58</t>
    <phoneticPr fontId="1"/>
  </si>
  <si>
    <t>A59</t>
    <phoneticPr fontId="1"/>
  </si>
  <si>
    <t>A60</t>
    <phoneticPr fontId="1"/>
  </si>
  <si>
    <t>1:木造平屋建、2:木造２階建</t>
    <rPh sb="2" eb="4">
      <t>モクゾウ</t>
    </rPh>
    <rPh sb="4" eb="6">
      <t>ヒラヤ</t>
    </rPh>
    <rPh sb="6" eb="7">
      <t>ケン</t>
    </rPh>
    <rPh sb="10" eb="12">
      <t>モクゾウ</t>
    </rPh>
    <rPh sb="13" eb="15">
      <t>カイダテ</t>
    </rPh>
    <phoneticPr fontId="1"/>
  </si>
  <si>
    <t>２階A5iブロック</t>
    <rPh sb="1" eb="2">
      <t>カイ</t>
    </rPh>
    <phoneticPr fontId="1"/>
  </si>
  <si>
    <t>昭和〇〇年</t>
    <rPh sb="0" eb="2">
      <t>ショウワ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</si>
</sst>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0.000_ "/>
    <numFmt numFmtId="178" formatCode="0_ "/>
    <numFmt numFmtId="179" formatCode="0.00_);[Red]\(0.00\)"/>
    <numFmt numFmtId="180" formatCode="#,##0_);[Red]\(#,##0\)"/>
    <numFmt numFmtId="181" formatCode="0.000_);\(0.000\)"/>
    <numFmt numFmtId="182" formatCode="0.000_);[Red]\(0.000\)"/>
    <numFmt numFmtId="183" formatCode="#,##0_ 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0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5" fillId="0" borderId="0" xfId="1" applyFont="1">
      <alignment vertical="center"/>
    </xf>
    <xf numFmtId="176" fontId="6" fillId="0" borderId="0" xfId="1" applyNumberFormat="1" applyFont="1" applyBorder="1" applyAlignment="1">
      <alignment horizontal="left" vertical="center"/>
    </xf>
    <xf numFmtId="176" fontId="0" fillId="0" borderId="1" xfId="0" applyNumberFormat="1" applyBorder="1">
      <alignment vertical="center"/>
    </xf>
    <xf numFmtId="0" fontId="10" fillId="0" borderId="1" xfId="0" applyFont="1" applyBorder="1">
      <alignment vertical="center"/>
    </xf>
    <xf numFmtId="0" fontId="11" fillId="0" borderId="0" xfId="0" applyFont="1">
      <alignment vertical="center"/>
    </xf>
    <xf numFmtId="0" fontId="12" fillId="0" borderId="11" xfId="0" applyFont="1" applyBorder="1">
      <alignment vertical="center"/>
    </xf>
    <xf numFmtId="0" fontId="12" fillId="0" borderId="29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3" xfId="0" applyFont="1" applyBorder="1">
      <alignment vertical="center"/>
    </xf>
    <xf numFmtId="176" fontId="12" fillId="0" borderId="1" xfId="0" applyNumberFormat="1" applyFont="1" applyBorder="1">
      <alignment vertical="center"/>
    </xf>
    <xf numFmtId="176" fontId="12" fillId="0" borderId="2" xfId="0" applyNumberFormat="1" applyFont="1" applyBorder="1">
      <alignment vertical="center"/>
    </xf>
    <xf numFmtId="0" fontId="10" fillId="0" borderId="0" xfId="0" applyFont="1">
      <alignment vertical="center"/>
    </xf>
    <xf numFmtId="176" fontId="12" fillId="0" borderId="0" xfId="0" applyNumberFormat="1" applyFont="1">
      <alignment vertical="center"/>
    </xf>
    <xf numFmtId="177" fontId="12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0" xfId="1" applyFont="1">
      <alignment vertical="center"/>
    </xf>
    <xf numFmtId="0" fontId="13" fillId="0" borderId="4" xfId="1" applyFont="1" applyBorder="1">
      <alignment vertical="center"/>
    </xf>
    <xf numFmtId="0" fontId="13" fillId="0" borderId="4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3" fillId="0" borderId="0" xfId="1" applyFont="1" applyFill="1">
      <alignment vertical="center"/>
    </xf>
    <xf numFmtId="0" fontId="13" fillId="0" borderId="0" xfId="1" applyFont="1" applyAlignment="1">
      <alignment horizontal="right" vertical="center"/>
    </xf>
    <xf numFmtId="177" fontId="13" fillId="0" borderId="1" xfId="1" applyNumberFormat="1" applyFont="1" applyBorder="1" applyAlignment="1">
      <alignment horizontal="right" vertical="center" indent="1"/>
    </xf>
    <xf numFmtId="176" fontId="13" fillId="0" borderId="1" xfId="1" applyNumberFormat="1" applyFont="1" applyBorder="1" applyAlignment="1">
      <alignment horizontal="right" vertical="center" indent="1"/>
    </xf>
    <xf numFmtId="176" fontId="13" fillId="0" borderId="0" xfId="1" applyNumberFormat="1" applyFont="1" applyBorder="1" applyAlignment="1">
      <alignment horizontal="right" vertical="center" indent="1"/>
    </xf>
    <xf numFmtId="0" fontId="13" fillId="0" borderId="0" xfId="1" applyFont="1" applyAlignment="1">
      <alignment horizontal="right" vertical="center" indent="1"/>
    </xf>
    <xf numFmtId="0" fontId="13" fillId="0" borderId="0" xfId="1" applyFont="1" applyBorder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6" borderId="14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right" vertical="center" indent="1"/>
    </xf>
    <xf numFmtId="0" fontId="13" fillId="3" borderId="0" xfId="1" applyFont="1" applyFill="1">
      <alignment vertical="center"/>
    </xf>
    <xf numFmtId="0" fontId="13" fillId="0" borderId="8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5" borderId="24" xfId="1" applyFont="1" applyFill="1" applyBorder="1">
      <alignment vertical="center"/>
    </xf>
    <xf numFmtId="0" fontId="13" fillId="5" borderId="25" xfId="1" applyFont="1" applyFill="1" applyBorder="1">
      <alignment vertical="center"/>
    </xf>
    <xf numFmtId="176" fontId="17" fillId="0" borderId="26" xfId="1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3" fillId="0" borderId="1" xfId="1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3" fillId="6" borderId="7" xfId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77" fontId="19" fillId="7" borderId="1" xfId="0" applyNumberFormat="1" applyFont="1" applyFill="1" applyBorder="1">
      <alignment vertical="center"/>
    </xf>
    <xf numFmtId="177" fontId="19" fillId="0" borderId="1" xfId="0" applyNumberFormat="1" applyFont="1" applyFill="1" applyBorder="1">
      <alignment vertical="center"/>
    </xf>
    <xf numFmtId="177" fontId="12" fillId="0" borderId="1" xfId="0" applyNumberFormat="1" applyFont="1" applyBorder="1">
      <alignment vertical="center"/>
    </xf>
    <xf numFmtId="0" fontId="19" fillId="7" borderId="1" xfId="0" applyFont="1" applyFill="1" applyBorder="1">
      <alignment vertical="center"/>
    </xf>
    <xf numFmtId="0" fontId="11" fillId="0" borderId="12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29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7" borderId="1" xfId="0" applyFont="1" applyFill="1" applyBorder="1">
      <alignment vertical="center"/>
    </xf>
    <xf numFmtId="176" fontId="12" fillId="7" borderId="1" xfId="0" applyNumberFormat="1" applyFont="1" applyFill="1" applyBorder="1">
      <alignment vertical="center"/>
    </xf>
    <xf numFmtId="180" fontId="12" fillId="7" borderId="1" xfId="0" applyNumberFormat="1" applyFont="1" applyFill="1" applyBorder="1">
      <alignment vertical="center"/>
    </xf>
    <xf numFmtId="176" fontId="11" fillId="0" borderId="1" xfId="0" applyNumberFormat="1" applyFont="1" applyBorder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1" fillId="0" borderId="33" xfId="0" applyFont="1" applyBorder="1">
      <alignment vertical="center"/>
    </xf>
    <xf numFmtId="0" fontId="11" fillId="0" borderId="34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37" xfId="0" applyFont="1" applyBorder="1">
      <alignment vertical="center"/>
    </xf>
    <xf numFmtId="0" fontId="12" fillId="0" borderId="38" xfId="0" applyFont="1" applyBorder="1" applyAlignment="1">
      <alignment horizontal="right" vertical="center"/>
    </xf>
    <xf numFmtId="0" fontId="11" fillId="0" borderId="39" xfId="0" applyFont="1" applyBorder="1">
      <alignment vertical="center"/>
    </xf>
    <xf numFmtId="0" fontId="11" fillId="0" borderId="40" xfId="0" applyFont="1" applyBorder="1">
      <alignment vertical="center"/>
    </xf>
    <xf numFmtId="0" fontId="12" fillId="0" borderId="41" xfId="0" applyFont="1" applyBorder="1" applyAlignment="1">
      <alignment horizontal="right" vertical="center"/>
    </xf>
    <xf numFmtId="0" fontId="11" fillId="7" borderId="12" xfId="0" applyFont="1" applyFill="1" applyBorder="1">
      <alignment vertical="center"/>
    </xf>
    <xf numFmtId="0" fontId="11" fillId="7" borderId="17" xfId="0" applyFont="1" applyFill="1" applyBorder="1">
      <alignment vertical="center"/>
    </xf>
    <xf numFmtId="0" fontId="11" fillId="7" borderId="10" xfId="0" applyFont="1" applyFill="1" applyBorder="1">
      <alignment vertical="center"/>
    </xf>
    <xf numFmtId="0" fontId="0" fillId="7" borderId="1" xfId="0" applyFill="1" applyBorder="1">
      <alignment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0" fontId="11" fillId="0" borderId="42" xfId="0" applyFont="1" applyBorder="1">
      <alignment vertical="center"/>
    </xf>
    <xf numFmtId="181" fontId="12" fillId="7" borderId="1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14" fillId="0" borderId="0" xfId="1" applyFont="1" applyAlignment="1">
      <alignment horizontal="center" vertical="center"/>
    </xf>
    <xf numFmtId="0" fontId="13" fillId="2" borderId="17" xfId="1" applyFont="1" applyFill="1" applyBorder="1" applyAlignment="1">
      <alignment horizontal="center" vertical="center" shrinkToFit="1"/>
    </xf>
    <xf numFmtId="176" fontId="13" fillId="0" borderId="8" xfId="1" applyNumberFormat="1" applyFont="1" applyFill="1" applyBorder="1" applyAlignment="1">
      <alignment horizontal="center" vertical="center"/>
    </xf>
    <xf numFmtId="176" fontId="13" fillId="0" borderId="8" xfId="1" applyNumberFormat="1" applyFont="1" applyBorder="1" applyAlignment="1">
      <alignment horizontal="center" vertical="center"/>
    </xf>
    <xf numFmtId="179" fontId="16" fillId="4" borderId="8" xfId="1" applyNumberFormat="1" applyFont="1" applyFill="1" applyBorder="1" applyAlignment="1">
      <alignment horizontal="center" vertical="center"/>
    </xf>
    <xf numFmtId="179" fontId="13" fillId="0" borderId="8" xfId="1" applyNumberFormat="1" applyFont="1" applyBorder="1" applyAlignment="1">
      <alignment horizontal="center" vertical="center"/>
    </xf>
    <xf numFmtId="179" fontId="13" fillId="0" borderId="22" xfId="1" applyNumberFormat="1" applyFont="1" applyBorder="1" applyAlignment="1">
      <alignment horizontal="center" vertical="center"/>
    </xf>
    <xf numFmtId="176" fontId="13" fillId="0" borderId="15" xfId="1" applyNumberFormat="1" applyFont="1" applyFill="1" applyBorder="1" applyAlignment="1">
      <alignment horizontal="center" vertical="center"/>
    </xf>
    <xf numFmtId="176" fontId="13" fillId="0" borderId="15" xfId="1" applyNumberFormat="1" applyFont="1" applyBorder="1" applyAlignment="1">
      <alignment horizontal="center" vertical="center"/>
    </xf>
    <xf numFmtId="179" fontId="13" fillId="4" borderId="15" xfId="1" applyNumberFormat="1" applyFont="1" applyFill="1" applyBorder="1" applyAlignment="1">
      <alignment horizontal="center" vertical="center"/>
    </xf>
    <xf numFmtId="179" fontId="13" fillId="0" borderId="15" xfId="1" applyNumberFormat="1" applyFont="1" applyBorder="1" applyAlignment="1">
      <alignment horizontal="center" vertical="center"/>
    </xf>
    <xf numFmtId="179" fontId="13" fillId="0" borderId="23" xfId="1" applyNumberFormat="1" applyFont="1" applyBorder="1" applyAlignment="1">
      <alignment horizontal="center" vertical="center"/>
    </xf>
    <xf numFmtId="176" fontId="13" fillId="0" borderId="10" xfId="1" applyNumberFormat="1" applyFont="1" applyFill="1" applyBorder="1" applyAlignment="1">
      <alignment horizontal="center" vertical="center"/>
    </xf>
    <xf numFmtId="176" fontId="13" fillId="0" borderId="10" xfId="1" applyNumberFormat="1" applyFont="1" applyBorder="1" applyAlignment="1">
      <alignment horizontal="center" vertical="center"/>
    </xf>
    <xf numFmtId="179" fontId="13" fillId="4" borderId="10" xfId="1" applyNumberFormat="1" applyFont="1" applyFill="1" applyBorder="1" applyAlignment="1">
      <alignment horizontal="center" vertical="center"/>
    </xf>
    <xf numFmtId="179" fontId="13" fillId="0" borderId="10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shrinkToFit="1"/>
    </xf>
    <xf numFmtId="0" fontId="11" fillId="0" borderId="43" xfId="0" applyFont="1" applyBorder="1">
      <alignment vertical="center"/>
    </xf>
    <xf numFmtId="0" fontId="11" fillId="0" borderId="44" xfId="0" applyFont="1" applyBorder="1">
      <alignment vertical="center"/>
    </xf>
    <xf numFmtId="0" fontId="11" fillId="0" borderId="45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176" fontId="0" fillId="7" borderId="1" xfId="0" applyNumberFormat="1" applyFill="1" applyBorder="1">
      <alignment vertical="center"/>
    </xf>
    <xf numFmtId="176" fontId="13" fillId="0" borderId="1" xfId="1" applyNumberFormat="1" applyFont="1" applyFill="1" applyBorder="1" applyAlignment="1">
      <alignment horizontal="right" vertical="center" indent="1"/>
    </xf>
    <xf numFmtId="0" fontId="0" fillId="0" borderId="1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9" fillId="0" borderId="0" xfId="0" applyFont="1" applyFill="1">
      <alignment vertical="center"/>
    </xf>
    <xf numFmtId="0" fontId="21" fillId="0" borderId="0" xfId="1" applyFont="1">
      <alignment vertical="center"/>
    </xf>
    <xf numFmtId="0" fontId="21" fillId="0" borderId="5" xfId="1" applyFont="1" applyBorder="1" applyAlignment="1">
      <alignment horizontal="center" vertical="center"/>
    </xf>
    <xf numFmtId="176" fontId="21" fillId="0" borderId="5" xfId="1" applyNumberFormat="1" applyFont="1" applyBorder="1" applyAlignment="1">
      <alignment horizontal="center" vertical="center"/>
    </xf>
    <xf numFmtId="0" fontId="11" fillId="0" borderId="47" xfId="0" applyFont="1" applyBorder="1">
      <alignment vertical="center"/>
    </xf>
    <xf numFmtId="0" fontId="11" fillId="0" borderId="48" xfId="0" applyFont="1" applyBorder="1">
      <alignment vertical="center"/>
    </xf>
    <xf numFmtId="0" fontId="11" fillId="0" borderId="49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50" xfId="0" applyFont="1" applyBorder="1">
      <alignment vertical="center"/>
    </xf>
    <xf numFmtId="0" fontId="11" fillId="0" borderId="0" xfId="0" applyFont="1" applyAlignment="1">
      <alignment horizontal="left" vertical="top"/>
    </xf>
    <xf numFmtId="182" fontId="12" fillId="0" borderId="38" xfId="0" applyNumberFormat="1" applyFont="1" applyBorder="1">
      <alignment vertical="center"/>
    </xf>
    <xf numFmtId="182" fontId="11" fillId="0" borderId="41" xfId="0" applyNumberFormat="1" applyFont="1" applyBorder="1">
      <alignment vertical="center"/>
    </xf>
    <xf numFmtId="177" fontId="10" fillId="0" borderId="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182" fontId="11" fillId="0" borderId="35" xfId="0" applyNumberFormat="1" applyFont="1" applyBorder="1">
      <alignment vertical="center"/>
    </xf>
    <xf numFmtId="0" fontId="12" fillId="0" borderId="38" xfId="0" applyFont="1" applyBorder="1" applyAlignment="1">
      <alignment horizontal="right"/>
    </xf>
    <xf numFmtId="0" fontId="11" fillId="7" borderId="1" xfId="0" applyFont="1" applyFill="1" applyBorder="1" applyAlignment="1">
      <alignment horizontal="center" vertical="center"/>
    </xf>
    <xf numFmtId="176" fontId="12" fillId="7" borderId="1" xfId="0" applyNumberFormat="1" applyFont="1" applyFill="1" applyBorder="1" applyAlignment="1">
      <alignment horizontal="center" vertical="center"/>
    </xf>
    <xf numFmtId="181" fontId="12" fillId="7" borderId="1" xfId="0" applyNumberFormat="1" applyFont="1" applyFill="1" applyBorder="1" applyAlignment="1">
      <alignment horizontal="center" vertical="center"/>
    </xf>
    <xf numFmtId="180" fontId="12" fillId="7" borderId="1" xfId="0" applyNumberFormat="1" applyFont="1" applyFill="1" applyBorder="1" applyAlignment="1">
      <alignment horizontal="center" vertical="center"/>
    </xf>
    <xf numFmtId="178" fontId="12" fillId="7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82" fontId="0" fillId="0" borderId="1" xfId="0" applyNumberFormat="1" applyBorder="1">
      <alignment vertical="center"/>
    </xf>
    <xf numFmtId="176" fontId="12" fillId="8" borderId="1" xfId="0" applyNumberFormat="1" applyFont="1" applyFill="1" applyBorder="1">
      <alignment vertical="center"/>
    </xf>
    <xf numFmtId="183" fontId="12" fillId="7" borderId="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shrinkToFit="1"/>
    </xf>
    <xf numFmtId="56" fontId="11" fillId="0" borderId="0" xfId="0" applyNumberFormat="1" applyFo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right"/>
    </xf>
    <xf numFmtId="0" fontId="11" fillId="0" borderId="12" xfId="0" applyFont="1" applyBorder="1" applyAlignment="1">
      <alignment vertical="center" shrinkToFit="1"/>
    </xf>
    <xf numFmtId="178" fontId="0" fillId="7" borderId="1" xfId="0" applyNumberFormat="1" applyFill="1" applyBorder="1">
      <alignment vertical="center"/>
    </xf>
    <xf numFmtId="177" fontId="11" fillId="0" borderId="1" xfId="0" applyNumberFormat="1" applyFont="1" applyBorder="1" applyAlignment="1">
      <alignment vertical="center" shrinkToFit="1"/>
    </xf>
    <xf numFmtId="177" fontId="12" fillId="0" borderId="1" xfId="0" applyNumberFormat="1" applyFont="1" applyBorder="1" applyAlignment="1">
      <alignment vertical="center" shrinkToFit="1"/>
    </xf>
    <xf numFmtId="0" fontId="11" fillId="0" borderId="0" xfId="0" applyFont="1" applyAlignment="1">
      <alignment horizontal="right" vertical="center" shrinkToFit="1"/>
    </xf>
    <xf numFmtId="0" fontId="11" fillId="9" borderId="1" xfId="0" applyFont="1" applyFill="1" applyBorder="1" applyAlignment="1">
      <alignment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3" fillId="0" borderId="0" xfId="1" applyFont="1" applyAlignment="1">
      <alignment horizontal="center" vertical="center" shrinkToFit="1"/>
    </xf>
    <xf numFmtId="0" fontId="13" fillId="0" borderId="49" xfId="1" applyFont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3" fillId="0" borderId="51" xfId="1" applyFont="1" applyFill="1" applyBorder="1" applyAlignment="1">
      <alignment horizontal="center" vertical="center" shrinkToFit="1"/>
    </xf>
    <xf numFmtId="0" fontId="13" fillId="0" borderId="6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182" fontId="13" fillId="0" borderId="7" xfId="1" applyNumberFormat="1" applyFont="1" applyFill="1" applyBorder="1" applyAlignment="1">
      <alignment horizontal="center" vertical="center"/>
    </xf>
    <xf numFmtId="182" fontId="13" fillId="0" borderId="10" xfId="1" applyNumberFormat="1" applyFont="1" applyFill="1" applyBorder="1" applyAlignment="1">
      <alignment horizontal="center" vertical="center"/>
    </xf>
    <xf numFmtId="182" fontId="13" fillId="0" borderId="12" xfId="1" applyNumberFormat="1" applyFont="1" applyFill="1" applyBorder="1" applyAlignment="1">
      <alignment horizontal="center" vertical="center"/>
    </xf>
    <xf numFmtId="182" fontId="13" fillId="0" borderId="14" xfId="1" applyNumberFormat="1" applyFont="1" applyFill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3" fillId="0" borderId="60" xfId="1" applyFont="1" applyBorder="1" applyAlignment="1">
      <alignment horizontal="center" vertical="center"/>
    </xf>
    <xf numFmtId="0" fontId="13" fillId="0" borderId="61" xfId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176" fontId="13" fillId="0" borderId="16" xfId="1" applyNumberFormat="1" applyFont="1" applyFill="1" applyBorder="1" applyAlignment="1">
      <alignment horizontal="right" vertical="center" indent="1"/>
    </xf>
    <xf numFmtId="176" fontId="13" fillId="0" borderId="18" xfId="1" applyNumberFormat="1" applyFont="1" applyFill="1" applyBorder="1" applyAlignment="1">
      <alignment horizontal="right" vertical="center" indent="1"/>
    </xf>
    <xf numFmtId="176" fontId="13" fillId="0" borderId="20" xfId="1" applyNumberFormat="1" applyFont="1" applyFill="1" applyBorder="1" applyAlignment="1">
      <alignment horizontal="right" vertical="center" indent="1"/>
    </xf>
    <xf numFmtId="176" fontId="13" fillId="0" borderId="21" xfId="1" applyNumberFormat="1" applyFont="1" applyFill="1" applyBorder="1" applyAlignment="1">
      <alignment horizontal="right" vertical="center" indent="1"/>
    </xf>
    <xf numFmtId="176" fontId="13" fillId="0" borderId="19" xfId="1" applyNumberFormat="1" applyFont="1" applyFill="1" applyBorder="1" applyAlignment="1">
      <alignment horizontal="right" vertical="center" inden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FFFF66"/>
      <color rgb="FFCCFFFF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53</xdr:row>
      <xdr:rowOff>95250</xdr:rowOff>
    </xdr:from>
    <xdr:to>
      <xdr:col>9</xdr:col>
      <xdr:colOff>47625</xdr:colOff>
      <xdr:row>54</xdr:row>
      <xdr:rowOff>38100</xdr:rowOff>
    </xdr:to>
    <xdr:sp macro="" textlink="">
      <xdr:nvSpPr>
        <xdr:cNvPr id="4" name="円/楕円 3"/>
        <xdr:cNvSpPr/>
      </xdr:nvSpPr>
      <xdr:spPr>
        <a:xfrm>
          <a:off x="4476750" y="7410450"/>
          <a:ext cx="85725" cy="95250"/>
        </a:xfrm>
        <a:prstGeom prst="ellipse">
          <a:avLst/>
        </a:prstGeom>
        <a:solidFill>
          <a:schemeClr val="tx1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280988</xdr:colOff>
      <xdr:row>53</xdr:row>
      <xdr:rowOff>147976</xdr:rowOff>
    </xdr:from>
    <xdr:to>
      <xdr:col>8</xdr:col>
      <xdr:colOff>511322</xdr:colOff>
      <xdr:row>56</xdr:row>
      <xdr:rowOff>0</xdr:rowOff>
    </xdr:to>
    <xdr:cxnSp macro="">
      <xdr:nvCxnSpPr>
        <xdr:cNvPr id="6" name="直線矢印コネクタ 5"/>
        <xdr:cNvCxnSpPr/>
      </xdr:nvCxnSpPr>
      <xdr:spPr>
        <a:xfrm flipH="1">
          <a:off x="4281488" y="7577476"/>
          <a:ext cx="230334" cy="30922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47</xdr:row>
      <xdr:rowOff>19050</xdr:rowOff>
    </xdr:from>
    <xdr:to>
      <xdr:col>10</xdr:col>
      <xdr:colOff>19050</xdr:colOff>
      <xdr:row>52</xdr:row>
      <xdr:rowOff>9525</xdr:rowOff>
    </xdr:to>
    <xdr:cxnSp macro="">
      <xdr:nvCxnSpPr>
        <xdr:cNvPr id="8" name="直線コネクタ 7"/>
        <xdr:cNvCxnSpPr/>
      </xdr:nvCxnSpPr>
      <xdr:spPr>
        <a:xfrm>
          <a:off x="4533900" y="6419850"/>
          <a:ext cx="561975" cy="752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47</xdr:row>
      <xdr:rowOff>9525</xdr:rowOff>
    </xdr:from>
    <xdr:to>
      <xdr:col>10</xdr:col>
      <xdr:colOff>9525</xdr:colOff>
      <xdr:row>51</xdr:row>
      <xdr:rowOff>142875</xdr:rowOff>
    </xdr:to>
    <xdr:cxnSp macro="">
      <xdr:nvCxnSpPr>
        <xdr:cNvPr id="10" name="直線コネクタ 9"/>
        <xdr:cNvCxnSpPr/>
      </xdr:nvCxnSpPr>
      <xdr:spPr>
        <a:xfrm flipV="1">
          <a:off x="4533900" y="6410325"/>
          <a:ext cx="552450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47</xdr:row>
      <xdr:rowOff>0</xdr:rowOff>
    </xdr:from>
    <xdr:to>
      <xdr:col>11</xdr:col>
      <xdr:colOff>0</xdr:colOff>
      <xdr:row>54</xdr:row>
      <xdr:rowOff>0</xdr:rowOff>
    </xdr:to>
    <xdr:cxnSp macro="">
      <xdr:nvCxnSpPr>
        <xdr:cNvPr id="12" name="直線コネクタ 11"/>
        <xdr:cNvCxnSpPr/>
      </xdr:nvCxnSpPr>
      <xdr:spPr>
        <a:xfrm>
          <a:off x="4524375" y="6400800"/>
          <a:ext cx="1152525" cy="10668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47</xdr:row>
      <xdr:rowOff>9525</xdr:rowOff>
    </xdr:from>
    <xdr:to>
      <xdr:col>11</xdr:col>
      <xdr:colOff>9525</xdr:colOff>
      <xdr:row>53</xdr:row>
      <xdr:rowOff>133350</xdr:rowOff>
    </xdr:to>
    <xdr:cxnSp macro="">
      <xdr:nvCxnSpPr>
        <xdr:cNvPr id="14" name="直線コネクタ 13"/>
        <xdr:cNvCxnSpPr/>
      </xdr:nvCxnSpPr>
      <xdr:spPr>
        <a:xfrm flipV="1">
          <a:off x="4533900" y="6410325"/>
          <a:ext cx="1152525" cy="10382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46</xdr:row>
      <xdr:rowOff>133350</xdr:rowOff>
    </xdr:from>
    <xdr:to>
      <xdr:col>12</xdr:col>
      <xdr:colOff>0</xdr:colOff>
      <xdr:row>52</xdr:row>
      <xdr:rowOff>19050</xdr:rowOff>
    </xdr:to>
    <xdr:cxnSp macro="">
      <xdr:nvCxnSpPr>
        <xdr:cNvPr id="16" name="直線コネクタ 15"/>
        <xdr:cNvCxnSpPr/>
      </xdr:nvCxnSpPr>
      <xdr:spPr>
        <a:xfrm>
          <a:off x="5676900" y="6381750"/>
          <a:ext cx="504825" cy="8001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47</xdr:row>
      <xdr:rowOff>0</xdr:rowOff>
    </xdr:from>
    <xdr:to>
      <xdr:col>12</xdr:col>
      <xdr:colOff>0</xdr:colOff>
      <xdr:row>52</xdr:row>
      <xdr:rowOff>0</xdr:rowOff>
    </xdr:to>
    <xdr:cxnSp macro="">
      <xdr:nvCxnSpPr>
        <xdr:cNvPr id="18" name="直線コネクタ 17"/>
        <xdr:cNvCxnSpPr/>
      </xdr:nvCxnSpPr>
      <xdr:spPr>
        <a:xfrm flipV="1">
          <a:off x="5676900" y="6400800"/>
          <a:ext cx="504825" cy="762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57</xdr:row>
      <xdr:rowOff>142875</xdr:rowOff>
    </xdr:from>
    <xdr:to>
      <xdr:col>8</xdr:col>
      <xdr:colOff>438150</xdr:colOff>
      <xdr:row>61</xdr:row>
      <xdr:rowOff>114300</xdr:rowOff>
    </xdr:to>
    <xdr:cxnSp macro="">
      <xdr:nvCxnSpPr>
        <xdr:cNvPr id="21" name="直線矢印コネクタ 20"/>
        <xdr:cNvCxnSpPr/>
      </xdr:nvCxnSpPr>
      <xdr:spPr>
        <a:xfrm flipV="1">
          <a:off x="4438650" y="8067675"/>
          <a:ext cx="0" cy="5810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61</xdr:row>
      <xdr:rowOff>0</xdr:rowOff>
    </xdr:from>
    <xdr:to>
      <xdr:col>9</xdr:col>
      <xdr:colOff>447675</xdr:colOff>
      <xdr:row>61</xdr:row>
      <xdr:rowOff>9525</xdr:rowOff>
    </xdr:to>
    <xdr:cxnSp macro="">
      <xdr:nvCxnSpPr>
        <xdr:cNvPr id="23" name="直線矢印コネクタ 22"/>
        <xdr:cNvCxnSpPr/>
      </xdr:nvCxnSpPr>
      <xdr:spPr>
        <a:xfrm>
          <a:off x="4324350" y="8534400"/>
          <a:ext cx="6381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53</xdr:row>
      <xdr:rowOff>142875</xdr:rowOff>
    </xdr:from>
    <xdr:to>
      <xdr:col>8</xdr:col>
      <xdr:colOff>476250</xdr:colOff>
      <xdr:row>53</xdr:row>
      <xdr:rowOff>142875</xdr:rowOff>
    </xdr:to>
    <xdr:cxnSp macro="">
      <xdr:nvCxnSpPr>
        <xdr:cNvPr id="5" name="直線コネクタ 4"/>
        <xdr:cNvCxnSpPr>
          <a:stCxn id="4" idx="2"/>
        </xdr:cNvCxnSpPr>
      </xdr:nvCxnSpPr>
      <xdr:spPr>
        <a:xfrm flipH="1">
          <a:off x="4133850" y="7572375"/>
          <a:ext cx="3429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24151</xdr:rowOff>
    </xdr:from>
    <xdr:to>
      <xdr:col>9</xdr:col>
      <xdr:colOff>6496</xdr:colOff>
      <xdr:row>56</xdr:row>
      <xdr:rowOff>4763</xdr:rowOff>
    </xdr:to>
    <xdr:cxnSp macro="">
      <xdr:nvCxnSpPr>
        <xdr:cNvPr id="11" name="直線コネクタ 10"/>
        <xdr:cNvCxnSpPr/>
      </xdr:nvCxnSpPr>
      <xdr:spPr>
        <a:xfrm flipH="1">
          <a:off x="4514850" y="7606051"/>
          <a:ext cx="6496" cy="28541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395288</xdr:colOff>
      <xdr:row>49</xdr:row>
      <xdr:rowOff>123825</xdr:rowOff>
    </xdr:from>
    <xdr:to>
      <xdr:col>8</xdr:col>
      <xdr:colOff>400051</xdr:colOff>
      <xdr:row>54</xdr:row>
      <xdr:rowOff>1</xdr:rowOff>
    </xdr:to>
    <xdr:cxnSp macro="">
      <xdr:nvCxnSpPr>
        <xdr:cNvPr id="15" name="直線矢印コネクタ 14"/>
        <xdr:cNvCxnSpPr/>
      </xdr:nvCxnSpPr>
      <xdr:spPr>
        <a:xfrm flipH="1" flipV="1">
          <a:off x="4395788" y="6943725"/>
          <a:ext cx="4763" cy="638176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4763</xdr:colOff>
      <xdr:row>55</xdr:row>
      <xdr:rowOff>114300</xdr:rowOff>
    </xdr:from>
    <xdr:to>
      <xdr:col>10</xdr:col>
      <xdr:colOff>133350</xdr:colOff>
      <xdr:row>55</xdr:row>
      <xdr:rowOff>119063</xdr:rowOff>
    </xdr:to>
    <xdr:cxnSp macro="">
      <xdr:nvCxnSpPr>
        <xdr:cNvPr id="20" name="直線矢印コネクタ 19"/>
        <xdr:cNvCxnSpPr/>
      </xdr:nvCxnSpPr>
      <xdr:spPr>
        <a:xfrm>
          <a:off x="4519613" y="7848600"/>
          <a:ext cx="690562" cy="4763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6496</xdr:colOff>
      <xdr:row>53</xdr:row>
      <xdr:rowOff>24151</xdr:rowOff>
    </xdr:from>
    <xdr:to>
      <xdr:col>9</xdr:col>
      <xdr:colOff>9525</xdr:colOff>
      <xdr:row>54</xdr:row>
      <xdr:rowOff>142875</xdr:rowOff>
    </xdr:to>
    <xdr:cxnSp macro="">
      <xdr:nvCxnSpPr>
        <xdr:cNvPr id="24" name="直線コネクタ 23"/>
        <xdr:cNvCxnSpPr/>
      </xdr:nvCxnSpPr>
      <xdr:spPr>
        <a:xfrm>
          <a:off x="4521346" y="7606051"/>
          <a:ext cx="3029" cy="2711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54</xdr:row>
      <xdr:rowOff>38100</xdr:rowOff>
    </xdr:from>
    <xdr:to>
      <xdr:col>10</xdr:col>
      <xdr:colOff>133350</xdr:colOff>
      <xdr:row>56</xdr:row>
      <xdr:rowOff>19050</xdr:rowOff>
    </xdr:to>
    <xdr:cxnSp macro="">
      <xdr:nvCxnSpPr>
        <xdr:cNvPr id="25" name="直線コネクタ 24"/>
        <xdr:cNvCxnSpPr/>
      </xdr:nvCxnSpPr>
      <xdr:spPr>
        <a:xfrm>
          <a:off x="5210175" y="7620000"/>
          <a:ext cx="0" cy="285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49</xdr:row>
      <xdr:rowOff>114300</xdr:rowOff>
    </xdr:from>
    <xdr:to>
      <xdr:col>9</xdr:col>
      <xdr:colOff>1</xdr:colOff>
      <xdr:row>49</xdr:row>
      <xdr:rowOff>114302</xdr:rowOff>
    </xdr:to>
    <xdr:cxnSp macro="">
      <xdr:nvCxnSpPr>
        <xdr:cNvPr id="27" name="直線コネクタ 26"/>
        <xdr:cNvCxnSpPr/>
      </xdr:nvCxnSpPr>
      <xdr:spPr>
        <a:xfrm flipH="1" flipV="1">
          <a:off x="4162425" y="6934200"/>
          <a:ext cx="352426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9"/>
  <sheetViews>
    <sheetView tabSelected="1" view="pageBreakPreview" zoomScale="70" zoomScaleNormal="100" zoomScaleSheetLayoutView="70" workbookViewId="0">
      <selection activeCell="D13" sqref="D13"/>
    </sheetView>
  </sheetViews>
  <sheetFormatPr defaultRowHeight="13.5"/>
  <cols>
    <col min="2" max="2" width="7.125" customWidth="1"/>
    <col min="6" max="6" width="2.625" customWidth="1"/>
    <col min="8" max="8" width="7.25" customWidth="1"/>
  </cols>
  <sheetData>
    <row r="1" spans="1:12">
      <c r="A1" t="s">
        <v>180</v>
      </c>
    </row>
    <row r="2" spans="1:12">
      <c r="A2" s="3" t="s">
        <v>162</v>
      </c>
      <c r="B2" t="s">
        <v>151</v>
      </c>
      <c r="D2" s="177" t="s">
        <v>253</v>
      </c>
      <c r="E2" s="177"/>
      <c r="F2" s="177"/>
      <c r="G2" s="177"/>
      <c r="I2" s="96">
        <v>1</v>
      </c>
      <c r="J2" t="s">
        <v>210</v>
      </c>
    </row>
    <row r="3" spans="1:12">
      <c r="A3" s="3" t="s">
        <v>163</v>
      </c>
      <c r="B3" t="s">
        <v>152</v>
      </c>
      <c r="D3" s="177" t="s">
        <v>254</v>
      </c>
      <c r="E3" s="177"/>
      <c r="F3" s="177"/>
      <c r="G3" s="177"/>
    </row>
    <row r="4" spans="1:12">
      <c r="A4" s="3" t="s">
        <v>164</v>
      </c>
      <c r="B4" t="s">
        <v>153</v>
      </c>
      <c r="D4" s="182" t="s">
        <v>279</v>
      </c>
      <c r="E4" s="183"/>
      <c r="F4" s="183" t="s">
        <v>245</v>
      </c>
      <c r="G4" s="184"/>
    </row>
    <row r="5" spans="1:12">
      <c r="A5" s="3" t="s">
        <v>165</v>
      </c>
      <c r="B5" t="s">
        <v>154</v>
      </c>
      <c r="D5" s="172">
        <v>2</v>
      </c>
      <c r="E5" s="101"/>
      <c r="F5" s="101" t="s">
        <v>277</v>
      </c>
      <c r="G5" s="101"/>
    </row>
    <row r="6" spans="1:12">
      <c r="A6" s="3"/>
      <c r="D6" s="172">
        <v>2</v>
      </c>
      <c r="E6" s="101"/>
      <c r="F6" s="101" t="s">
        <v>205</v>
      </c>
      <c r="G6" s="101"/>
    </row>
    <row r="7" spans="1:12">
      <c r="A7" s="3" t="s">
        <v>166</v>
      </c>
      <c r="B7" t="s">
        <v>155</v>
      </c>
      <c r="D7" s="123">
        <v>1</v>
      </c>
      <c r="E7" s="101"/>
      <c r="F7" s="101"/>
      <c r="G7" s="101"/>
    </row>
    <row r="8" spans="1:12">
      <c r="A8" s="3" t="s">
        <v>167</v>
      </c>
      <c r="B8" t="s">
        <v>156</v>
      </c>
      <c r="D8" s="123">
        <v>1</v>
      </c>
      <c r="E8" s="101"/>
      <c r="F8" s="101"/>
      <c r="G8" s="101"/>
    </row>
    <row r="9" spans="1:12">
      <c r="A9" s="3" t="s">
        <v>168</v>
      </c>
      <c r="B9" t="s">
        <v>157</v>
      </c>
      <c r="D9" s="123">
        <v>1</v>
      </c>
      <c r="E9" s="101"/>
      <c r="F9" s="101"/>
      <c r="G9" s="101"/>
    </row>
    <row r="10" spans="1:12">
      <c r="A10" s="3"/>
      <c r="B10" s="19" t="s">
        <v>206</v>
      </c>
      <c r="D10" s="123">
        <v>1</v>
      </c>
      <c r="E10" s="101"/>
      <c r="F10" s="101"/>
      <c r="G10" s="101"/>
    </row>
    <row r="11" spans="1:12">
      <c r="A11" s="3"/>
      <c r="B11" s="180" t="s">
        <v>207</v>
      </c>
      <c r="C11" s="181"/>
      <c r="D11" s="123">
        <v>0</v>
      </c>
      <c r="E11" s="130" t="s">
        <v>209</v>
      </c>
      <c r="F11" s="130"/>
      <c r="G11" s="101"/>
    </row>
    <row r="12" spans="1:12">
      <c r="A12" s="3" t="s">
        <v>169</v>
      </c>
      <c r="B12" t="s">
        <v>208</v>
      </c>
      <c r="D12" s="123">
        <v>1</v>
      </c>
      <c r="E12" s="101" t="str">
        <f>IF(D12&lt;1,"　　一般地域",IF(D12&gt;=1,"　　多雪地域"))</f>
        <v>　　多雪地域</v>
      </c>
      <c r="L12" s="1">
        <f>IF(D12&lt;1,0,IF(D12=1,0.26,IF(D12=2,0.52,0.26*D12)))</f>
        <v>0.26</v>
      </c>
    </row>
    <row r="13" spans="1:12">
      <c r="A13" s="3" t="s">
        <v>170</v>
      </c>
      <c r="B13" t="s">
        <v>158</v>
      </c>
      <c r="D13" s="96">
        <v>2</v>
      </c>
      <c r="E13" s="101" t="str">
        <f>IF(D13=1,"Ⅰ　健全な鉄筋コンクリートの布基礎又はベタ基礎",IF(D13=2,"Ⅱ　ひび割れのある鉄筋コンクリートの布基礎又はベタ基礎","Ⅲ　その他の基礎"))</f>
        <v>Ⅱ　ひび割れのある鉄筋コンクリートの布基礎又はベタ基礎</v>
      </c>
      <c r="G13" s="101"/>
    </row>
    <row r="14" spans="1:12">
      <c r="A14" s="3" t="s">
        <v>171</v>
      </c>
      <c r="B14" t="s">
        <v>159</v>
      </c>
      <c r="D14" s="96">
        <v>3</v>
      </c>
      <c r="E14" s="101" t="str">
        <f>IF(D14=1,"Ⅰ　合板",IF(D14=2,"Ⅱ　火打ち+荒板","Ⅲ　火打ちなし　"))</f>
        <v>Ⅲ　火打ちなし　</v>
      </c>
      <c r="G14" s="101"/>
      <c r="H14" s="182" t="s">
        <v>223</v>
      </c>
      <c r="I14" s="183"/>
      <c r="J14" s="184"/>
    </row>
    <row r="15" spans="1:12">
      <c r="A15" s="3" t="s">
        <v>172</v>
      </c>
      <c r="B15" t="s">
        <v>160</v>
      </c>
      <c r="D15" s="96">
        <v>1</v>
      </c>
      <c r="E15" s="101" t="str">
        <f>IF(D15=1,"　　120mm未満",IF(D14=2,"　　120mm以上"))</f>
        <v>　　120mm未満</v>
      </c>
      <c r="G15" s="101"/>
    </row>
    <row r="16" spans="1:12">
      <c r="A16" s="3" t="s">
        <v>173</v>
      </c>
      <c r="B16" t="s">
        <v>161</v>
      </c>
      <c r="D16" s="96">
        <v>2</v>
      </c>
      <c r="E16" s="101" t="str">
        <f>IF(D16=1,"Ⅰ　平成12年建設省告示第1460号に適合する仕様 ",IF(D16=2,"Ⅱ　羽子板ボルト、山形プレートVP,かど金物ＣP-T,CP-L,込み栓 ",IF(D16=3,"Ⅲ　ほぞ差し、釘打ち、かすがい等(構面の両端が通し柱の場合）","Ⅳ　ほぞ差し、釘打ち、かすがい等")))</f>
        <v xml:space="preserve">Ⅱ　羽子板ボルト、山形プレートVP,かど金物ＣP-T,CP-L,込み栓 </v>
      </c>
      <c r="G16" s="101"/>
    </row>
    <row r="17" spans="1:11">
      <c r="A17" s="3" t="s">
        <v>177</v>
      </c>
      <c r="B17" t="s">
        <v>174</v>
      </c>
    </row>
    <row r="18" spans="1:11" ht="15.75">
      <c r="C18" t="s">
        <v>175</v>
      </c>
      <c r="D18" s="123">
        <v>0</v>
      </c>
      <c r="E18" s="101" t="s">
        <v>204</v>
      </c>
      <c r="H18" s="3" t="s">
        <v>256</v>
      </c>
      <c r="I18" s="123">
        <v>1</v>
      </c>
    </row>
    <row r="19" spans="1:11" ht="15.75">
      <c r="C19" t="s">
        <v>176</v>
      </c>
      <c r="D19" s="123">
        <v>0</v>
      </c>
      <c r="E19" s="101" t="s">
        <v>204</v>
      </c>
      <c r="F19" s="185"/>
      <c r="G19" s="185"/>
      <c r="H19" s="185"/>
      <c r="I19" s="185"/>
      <c r="J19" s="185"/>
      <c r="K19" s="185"/>
    </row>
    <row r="21" spans="1:11">
      <c r="A21" s="1" t="s">
        <v>178</v>
      </c>
      <c r="B21" s="97"/>
      <c r="C21" s="98"/>
      <c r="D21" s="98"/>
      <c r="E21" s="98"/>
      <c r="G21" s="1" t="s">
        <v>179</v>
      </c>
      <c r="H21" s="97"/>
      <c r="I21" s="98"/>
      <c r="J21" s="98"/>
      <c r="K21" s="98"/>
    </row>
    <row r="22" spans="1:11">
      <c r="A22" s="126" t="s">
        <v>49</v>
      </c>
      <c r="B22" s="126" t="s">
        <v>46</v>
      </c>
      <c r="C22" s="126" t="s">
        <v>47</v>
      </c>
      <c r="D22" s="178" t="s">
        <v>261</v>
      </c>
      <c r="E22" s="179"/>
      <c r="G22" s="126" t="s">
        <v>49</v>
      </c>
      <c r="H22" s="126" t="s">
        <v>46</v>
      </c>
      <c r="I22" s="126" t="s">
        <v>47</v>
      </c>
      <c r="J22" s="178" t="s">
        <v>261</v>
      </c>
      <c r="K22" s="179"/>
    </row>
    <row r="23" spans="1:11">
      <c r="A23" s="127" t="s">
        <v>239</v>
      </c>
      <c r="B23" s="127"/>
      <c r="C23" s="127" t="s">
        <v>48</v>
      </c>
      <c r="D23" s="128" t="s">
        <v>181</v>
      </c>
      <c r="E23" s="129"/>
      <c r="G23" s="127" t="s">
        <v>238</v>
      </c>
      <c r="H23" s="125"/>
      <c r="I23" s="127" t="s">
        <v>48</v>
      </c>
      <c r="J23" s="128" t="s">
        <v>181</v>
      </c>
      <c r="K23" s="129"/>
    </row>
    <row r="24" spans="1:11">
      <c r="A24" s="1">
        <v>100</v>
      </c>
      <c r="B24" s="150"/>
      <c r="C24" s="96"/>
      <c r="D24" s="161">
        <v>0</v>
      </c>
      <c r="E24" s="6"/>
      <c r="F24" s="2"/>
      <c r="G24" s="1">
        <v>0</v>
      </c>
      <c r="H24" s="150"/>
      <c r="I24" s="96"/>
      <c r="J24" s="162">
        <v>0</v>
      </c>
      <c r="K24" s="1"/>
    </row>
    <row r="25" spans="1:11">
      <c r="A25" s="1">
        <v>101</v>
      </c>
      <c r="B25" s="150"/>
      <c r="C25" s="96"/>
      <c r="D25" s="161" t="str">
        <f>IF(C25="","",SUM(C$24:C25))</f>
        <v/>
      </c>
      <c r="E25" s="6"/>
      <c r="F25" s="2"/>
      <c r="G25" s="1">
        <v>1</v>
      </c>
      <c r="H25" s="150"/>
      <c r="I25" s="96"/>
      <c r="J25" s="162" t="str">
        <f>IF(I25="","",SUM(I$24:I25))</f>
        <v/>
      </c>
      <c r="K25" s="1"/>
    </row>
    <row r="26" spans="1:11">
      <c r="A26" s="1">
        <v>102</v>
      </c>
      <c r="B26" s="150"/>
      <c r="C26" s="96"/>
      <c r="D26" s="161" t="str">
        <f>IF(C26="","",SUM(C$24:C26))</f>
        <v/>
      </c>
      <c r="E26" s="6"/>
      <c r="F26" s="2"/>
      <c r="G26" s="1">
        <v>2</v>
      </c>
      <c r="H26" s="150"/>
      <c r="I26" s="96"/>
      <c r="J26" s="162" t="str">
        <f>IF(I26="","",SUM(I$24:I26))</f>
        <v/>
      </c>
      <c r="K26" s="1"/>
    </row>
    <row r="27" spans="1:11">
      <c r="A27" s="1">
        <v>103</v>
      </c>
      <c r="B27" s="150"/>
      <c r="C27" s="96"/>
      <c r="D27" s="161" t="str">
        <f>IF(C27="","",SUM(C$24:C27))</f>
        <v/>
      </c>
      <c r="E27" s="6"/>
      <c r="F27" s="2"/>
      <c r="G27" s="1">
        <v>3</v>
      </c>
      <c r="H27" s="150"/>
      <c r="I27" s="96"/>
      <c r="J27" s="162" t="str">
        <f>IF(I27="","",SUM(I$24:I27))</f>
        <v/>
      </c>
      <c r="K27" s="1"/>
    </row>
    <row r="28" spans="1:11">
      <c r="A28" s="1">
        <v>104</v>
      </c>
      <c r="B28" s="150"/>
      <c r="C28" s="96"/>
      <c r="D28" s="161" t="str">
        <f>IF(C28="","",SUM(C$24:C28))</f>
        <v/>
      </c>
      <c r="E28" s="6"/>
      <c r="F28" s="2"/>
      <c r="G28" s="1">
        <v>4</v>
      </c>
      <c r="H28" s="150"/>
      <c r="I28" s="96"/>
      <c r="J28" s="162" t="str">
        <f>IF(I28="","",SUM(I$24:I28))</f>
        <v/>
      </c>
      <c r="K28" s="1"/>
    </row>
    <row r="29" spans="1:11">
      <c r="A29" s="1">
        <v>105</v>
      </c>
      <c r="B29" s="150"/>
      <c r="C29" s="96"/>
      <c r="D29" s="161" t="str">
        <f>IF(C29="","",SUM(C$24:C29))</f>
        <v/>
      </c>
      <c r="E29" s="6"/>
      <c r="F29" s="2"/>
      <c r="G29" s="1">
        <v>5</v>
      </c>
      <c r="H29" s="150"/>
      <c r="I29" s="96"/>
      <c r="J29" s="162" t="str">
        <f>IF(I29="","",SUM(I$24:I29))</f>
        <v/>
      </c>
      <c r="K29" s="1"/>
    </row>
    <row r="30" spans="1:11">
      <c r="A30" s="1">
        <v>106</v>
      </c>
      <c r="B30" s="150"/>
      <c r="C30" s="96"/>
      <c r="D30" s="161" t="str">
        <f>IF(C30="","",SUM(C$24:C30))</f>
        <v/>
      </c>
      <c r="E30" s="6"/>
      <c r="F30" s="2"/>
      <c r="G30" s="1">
        <v>6</v>
      </c>
      <c r="H30" s="150"/>
      <c r="I30" s="96"/>
      <c r="J30" s="162" t="str">
        <f>IF(I30="","",SUM(I$24:I30))</f>
        <v/>
      </c>
      <c r="K30" s="1"/>
    </row>
    <row r="31" spans="1:11">
      <c r="A31" s="1">
        <v>107</v>
      </c>
      <c r="B31" s="150"/>
      <c r="C31" s="96"/>
      <c r="D31" s="161" t="str">
        <f>IF(C31="","",SUM(C$24:C31))</f>
        <v/>
      </c>
      <c r="E31" s="6"/>
      <c r="F31" s="2"/>
      <c r="G31" s="1">
        <v>7</v>
      </c>
      <c r="H31" s="150"/>
      <c r="I31" s="96"/>
      <c r="J31" s="162" t="str">
        <f>IF(I31="","",SUM(I$24:I31))</f>
        <v/>
      </c>
      <c r="K31" s="1"/>
    </row>
    <row r="32" spans="1:11">
      <c r="A32" s="1">
        <v>108</v>
      </c>
      <c r="B32" s="150"/>
      <c r="C32" s="96"/>
      <c r="D32" s="161" t="str">
        <f>IF(C32="","",SUM(C$24:C32))</f>
        <v/>
      </c>
      <c r="E32" s="6"/>
      <c r="F32" s="2"/>
      <c r="G32" s="1">
        <v>8</v>
      </c>
      <c r="H32" s="150"/>
      <c r="I32" s="96"/>
      <c r="J32" s="162" t="str">
        <f>IF(I32="","",SUM(I$24:I32))</f>
        <v/>
      </c>
      <c r="K32" s="1"/>
    </row>
    <row r="33" spans="1:11">
      <c r="A33" s="1">
        <v>109</v>
      </c>
      <c r="B33" s="150"/>
      <c r="C33" s="96"/>
      <c r="D33" s="161" t="str">
        <f>IF(C33="","",SUM(C$24:C33))</f>
        <v/>
      </c>
      <c r="E33" s="6"/>
      <c r="F33" s="2"/>
      <c r="G33" s="1">
        <v>9</v>
      </c>
      <c r="H33" s="150"/>
      <c r="I33" s="96"/>
      <c r="J33" s="162" t="str">
        <f>IF(I33="","",SUM(I$24:I33))</f>
        <v/>
      </c>
      <c r="K33" s="1"/>
    </row>
    <row r="34" spans="1:11">
      <c r="A34" s="1">
        <v>110</v>
      </c>
      <c r="B34" s="150"/>
      <c r="C34" s="96"/>
      <c r="D34" s="161" t="str">
        <f>IF(C34="","",SUM(C$24:C34))</f>
        <v/>
      </c>
      <c r="E34" s="6"/>
      <c r="F34" s="2"/>
      <c r="G34" s="1">
        <v>10</v>
      </c>
      <c r="H34" s="150"/>
      <c r="I34" s="96"/>
      <c r="J34" s="162" t="str">
        <f>IF(I34="","",SUM(I$24:I34))</f>
        <v/>
      </c>
      <c r="K34" s="1"/>
    </row>
    <row r="35" spans="1:11">
      <c r="A35" s="1">
        <v>111</v>
      </c>
      <c r="B35" s="150"/>
      <c r="C35" s="96"/>
      <c r="D35" s="161" t="str">
        <f>IF(C35="","",SUM(C$24:C35))</f>
        <v/>
      </c>
      <c r="E35" s="6"/>
      <c r="F35" s="2"/>
      <c r="G35" s="1">
        <v>11</v>
      </c>
      <c r="H35" s="150"/>
      <c r="I35" s="96"/>
      <c r="J35" s="162" t="str">
        <f>IF(I35="","",SUM(I$24:I35))</f>
        <v/>
      </c>
      <c r="K35" s="1"/>
    </row>
    <row r="36" spans="1:11">
      <c r="A36" s="1">
        <v>112</v>
      </c>
      <c r="B36" s="150"/>
      <c r="C36" s="96"/>
      <c r="D36" s="161" t="str">
        <f>IF(C36="","",SUM(C$24:C36))</f>
        <v/>
      </c>
      <c r="E36" s="6"/>
      <c r="F36" s="2"/>
      <c r="G36" s="1">
        <v>12</v>
      </c>
      <c r="H36" s="150"/>
      <c r="I36" s="96"/>
      <c r="J36" s="162" t="str">
        <f>IF(I36="","",SUM(I$24:I36))</f>
        <v/>
      </c>
      <c r="K36" s="1"/>
    </row>
    <row r="37" spans="1:11">
      <c r="A37" s="1">
        <v>113</v>
      </c>
      <c r="B37" s="150"/>
      <c r="C37" s="96"/>
      <c r="D37" s="161" t="str">
        <f>IF(C37="","",SUM(C$24:C37))</f>
        <v/>
      </c>
      <c r="E37" s="6"/>
      <c r="F37" s="2"/>
      <c r="G37" s="1">
        <v>13</v>
      </c>
      <c r="H37" s="150"/>
      <c r="I37" s="96"/>
      <c r="J37" s="162" t="str">
        <f>IF(I37="","",SUM(I$24:I37))</f>
        <v/>
      </c>
      <c r="K37" s="1"/>
    </row>
    <row r="38" spans="1:11">
      <c r="A38" s="1">
        <v>114</v>
      </c>
      <c r="B38" s="150"/>
      <c r="C38" s="96"/>
      <c r="D38" s="161" t="str">
        <f>IF(C38="","",SUM(C$24:C38))</f>
        <v/>
      </c>
      <c r="E38" s="6"/>
      <c r="F38" s="2"/>
      <c r="G38" s="1">
        <v>14</v>
      </c>
      <c r="H38" s="150"/>
      <c r="I38" s="96"/>
      <c r="J38" s="162" t="str">
        <f>IF(I38="","",SUM(I$24:I38))</f>
        <v/>
      </c>
      <c r="K38" s="1"/>
    </row>
    <row r="39" spans="1:11">
      <c r="A39" s="1">
        <v>115</v>
      </c>
      <c r="B39" s="150"/>
      <c r="C39" s="96"/>
      <c r="D39" s="161" t="str">
        <f>IF(C39="","",SUM(C$24:C39))</f>
        <v/>
      </c>
      <c r="E39" s="6"/>
      <c r="F39" s="2"/>
      <c r="G39" s="1">
        <v>15</v>
      </c>
      <c r="H39" s="150"/>
      <c r="I39" s="96"/>
      <c r="J39" s="162" t="str">
        <f>IF(I39="","",SUM(I$24:I39))</f>
        <v/>
      </c>
      <c r="K39" s="1"/>
    </row>
    <row r="40" spans="1:11">
      <c r="A40" s="1">
        <v>116</v>
      </c>
      <c r="B40" s="150"/>
      <c r="C40" s="96"/>
      <c r="D40" s="161" t="str">
        <f>IF(C40="","",SUM(C$24:C40))</f>
        <v/>
      </c>
      <c r="E40" s="6"/>
      <c r="F40" s="2"/>
      <c r="G40" s="1">
        <v>16</v>
      </c>
      <c r="H40" s="150"/>
      <c r="I40" s="96"/>
      <c r="J40" s="162" t="str">
        <f>IF(I40="","",SUM(I$24:I40))</f>
        <v/>
      </c>
      <c r="K40" s="1"/>
    </row>
    <row r="41" spans="1:11">
      <c r="A41" s="1">
        <v>117</v>
      </c>
      <c r="B41" s="150"/>
      <c r="C41" s="96"/>
      <c r="D41" s="161" t="str">
        <f>IF(C41="","",SUM(C$24:C41))</f>
        <v/>
      </c>
      <c r="E41" s="6"/>
      <c r="F41" s="2"/>
      <c r="G41" s="1">
        <v>17</v>
      </c>
      <c r="H41" s="150"/>
      <c r="I41" s="96"/>
      <c r="J41" s="162" t="str">
        <f>IF(I41="","",SUM(I$24:I41))</f>
        <v/>
      </c>
      <c r="K41" s="1"/>
    </row>
    <row r="42" spans="1:11">
      <c r="A42" s="1">
        <v>118</v>
      </c>
      <c r="B42" s="150"/>
      <c r="C42" s="96"/>
      <c r="D42" s="161" t="str">
        <f>IF(C42="","",SUM(C$24:C42))</f>
        <v/>
      </c>
      <c r="E42" s="6"/>
      <c r="F42" s="2"/>
      <c r="G42" s="1">
        <v>18</v>
      </c>
      <c r="H42" s="150"/>
      <c r="I42" s="96"/>
      <c r="J42" s="162" t="str">
        <f>IF(I42="","",SUM(I$24:I42))</f>
        <v/>
      </c>
      <c r="K42" s="1"/>
    </row>
    <row r="43" spans="1:11">
      <c r="A43" s="1">
        <v>119</v>
      </c>
      <c r="B43" s="150"/>
      <c r="C43" s="96"/>
      <c r="D43" s="161" t="str">
        <f>IF(C43="","",SUM(C$24:C43))</f>
        <v/>
      </c>
      <c r="E43" s="6"/>
      <c r="F43" s="2"/>
      <c r="G43" s="1">
        <v>19</v>
      </c>
      <c r="H43" s="150"/>
      <c r="I43" s="96"/>
      <c r="J43" s="162" t="str">
        <f>IF(I43="","",SUM(I$24:I43))</f>
        <v/>
      </c>
      <c r="K43" s="1"/>
    </row>
    <row r="44" spans="1:11">
      <c r="A44" s="1">
        <v>120</v>
      </c>
      <c r="B44" s="150"/>
      <c r="C44" s="96"/>
      <c r="D44" s="161" t="str">
        <f>IF(C44="","",SUM(C$24:C44))</f>
        <v/>
      </c>
      <c r="E44" s="6"/>
      <c r="F44" s="2"/>
      <c r="G44" s="1">
        <v>20</v>
      </c>
      <c r="H44" s="150"/>
      <c r="I44" s="96"/>
      <c r="J44" s="162" t="str">
        <f>IF(I44="","",SUM(I$24:I44))</f>
        <v/>
      </c>
      <c r="K44" s="1"/>
    </row>
    <row r="45" spans="1:11">
      <c r="A45" s="1">
        <v>121</v>
      </c>
      <c r="B45" s="150"/>
      <c r="C45" s="96"/>
      <c r="D45" s="161" t="str">
        <f>IF(C45="","",SUM(C$24:C45))</f>
        <v/>
      </c>
      <c r="E45" s="1"/>
      <c r="G45" s="1">
        <v>21</v>
      </c>
      <c r="H45" s="150"/>
      <c r="I45" s="96"/>
      <c r="J45" s="162" t="str">
        <f>IF(I45="","",SUM(I$24:I45))</f>
        <v/>
      </c>
      <c r="K45" s="1"/>
    </row>
    <row r="46" spans="1:11">
      <c r="A46" s="1">
        <v>122</v>
      </c>
      <c r="B46" s="150"/>
      <c r="C46" s="96"/>
      <c r="D46" s="161" t="str">
        <f>IF(C46="","",SUM(C$24:C46))</f>
        <v/>
      </c>
      <c r="E46" s="1"/>
      <c r="G46" s="1">
        <v>22</v>
      </c>
      <c r="H46" s="150"/>
      <c r="I46" s="96"/>
      <c r="J46" s="162" t="str">
        <f>IF(I46="","",SUM(I$24:I46))</f>
        <v/>
      </c>
      <c r="K46" s="1"/>
    </row>
    <row r="47" spans="1:11">
      <c r="A47" s="1">
        <v>123</v>
      </c>
      <c r="B47" s="150"/>
      <c r="C47" s="96"/>
      <c r="D47" s="161" t="str">
        <f>IF(C47="","",SUM(C$24:C47))</f>
        <v/>
      </c>
      <c r="E47" s="1"/>
      <c r="G47" s="1">
        <v>23</v>
      </c>
      <c r="H47" s="150"/>
      <c r="I47" s="96"/>
      <c r="J47" s="162" t="str">
        <f>IF(I47="","",SUM(I$24:I47))</f>
        <v/>
      </c>
      <c r="K47" s="1"/>
    </row>
    <row r="48" spans="1:11">
      <c r="A48" s="1">
        <v>124</v>
      </c>
      <c r="B48" s="150"/>
      <c r="C48" s="96"/>
      <c r="D48" s="161" t="str">
        <f>IF(C48="","",SUM(C$24:C48))</f>
        <v/>
      </c>
      <c r="E48" s="1"/>
      <c r="G48" s="1">
        <v>24</v>
      </c>
      <c r="H48" s="150"/>
      <c r="I48" s="96"/>
      <c r="J48" s="162" t="str">
        <f>IF(I48="","",SUM(I$24:I48))</f>
        <v/>
      </c>
      <c r="K48" s="1"/>
    </row>
    <row r="49" spans="1:11">
      <c r="A49" s="1">
        <v>125</v>
      </c>
      <c r="B49" s="150"/>
      <c r="C49" s="96"/>
      <c r="D49" s="161" t="str">
        <f>IF(C49="","",SUM(C$24:C49))</f>
        <v/>
      </c>
      <c r="E49" s="1"/>
      <c r="G49" s="1">
        <v>25</v>
      </c>
      <c r="H49" s="150"/>
      <c r="I49" s="96"/>
      <c r="J49" s="162" t="str">
        <f>IF(I49="","",SUM(I$24:I49))</f>
        <v/>
      </c>
      <c r="K49" s="1"/>
    </row>
    <row r="50" spans="1:11">
      <c r="A50" s="1">
        <v>126</v>
      </c>
      <c r="B50" s="150"/>
      <c r="C50" s="96"/>
      <c r="D50" s="161" t="str">
        <f>IF(C50="","",SUM(C$24:C50))</f>
        <v/>
      </c>
      <c r="E50" s="1"/>
      <c r="G50" s="1">
        <v>26</v>
      </c>
      <c r="H50" s="150"/>
      <c r="I50" s="96"/>
      <c r="J50" s="162" t="str">
        <f>IF(I50="","",SUM(I$24:I50))</f>
        <v/>
      </c>
      <c r="K50" s="1"/>
    </row>
    <row r="51" spans="1:11">
      <c r="A51" s="1">
        <v>127</v>
      </c>
      <c r="B51" s="150"/>
      <c r="C51" s="96"/>
      <c r="D51" s="161" t="str">
        <f>IF(C51="","",SUM(C$24:C51))</f>
        <v/>
      </c>
      <c r="E51" s="1"/>
      <c r="G51" s="1">
        <v>27</v>
      </c>
      <c r="H51" s="150"/>
      <c r="I51" s="96"/>
      <c r="J51" s="162" t="str">
        <f>IF(I51="","",SUM(I$24:I51))</f>
        <v/>
      </c>
      <c r="K51" s="1"/>
    </row>
    <row r="52" spans="1:11">
      <c r="A52" s="1">
        <v>128</v>
      </c>
      <c r="B52" s="150"/>
      <c r="C52" s="96"/>
      <c r="D52" s="161" t="str">
        <f>IF(C52="","",SUM(C$24:C52))</f>
        <v/>
      </c>
      <c r="E52" s="1"/>
      <c r="G52" s="1">
        <v>28</v>
      </c>
      <c r="H52" s="150"/>
      <c r="I52" s="96"/>
      <c r="J52" s="162" t="str">
        <f>IF(I52="","",SUM(I$24:I52))</f>
        <v/>
      </c>
      <c r="K52" s="1"/>
    </row>
    <row r="53" spans="1:11">
      <c r="A53" s="1">
        <v>129</v>
      </c>
      <c r="B53" s="150"/>
      <c r="C53" s="96"/>
      <c r="D53" s="161" t="str">
        <f>IF(C53="","",SUM(C$24:C53))</f>
        <v/>
      </c>
      <c r="E53" s="1"/>
      <c r="G53" s="1">
        <v>29</v>
      </c>
      <c r="H53" s="150"/>
      <c r="I53" s="96"/>
      <c r="J53" s="162" t="str">
        <f>IF(I53="","",SUM(I$24:I53))</f>
        <v/>
      </c>
      <c r="K53" s="1"/>
    </row>
    <row r="54" spans="1:11">
      <c r="A54" s="1">
        <v>130</v>
      </c>
      <c r="B54" s="150"/>
      <c r="C54" s="96"/>
      <c r="D54" s="161" t="str">
        <f>IF(C54="","",SUM(C$24:C54))</f>
        <v/>
      </c>
      <c r="E54" s="1"/>
      <c r="G54" s="1">
        <v>30</v>
      </c>
      <c r="H54" s="150"/>
      <c r="I54" s="96"/>
      <c r="J54" s="162" t="str">
        <f>IF(I54="","",SUM(I$24:I54))</f>
        <v/>
      </c>
      <c r="K54" s="1"/>
    </row>
    <row r="55" spans="1:11">
      <c r="A55" s="1">
        <v>131</v>
      </c>
      <c r="B55" s="150"/>
      <c r="C55" s="96"/>
      <c r="D55" s="161" t="str">
        <f>IF(C55="","",SUM(C$24:C55))</f>
        <v/>
      </c>
      <c r="E55" s="1"/>
      <c r="G55" s="1">
        <v>31</v>
      </c>
      <c r="H55" s="150"/>
      <c r="I55" s="96"/>
      <c r="J55" s="162" t="str">
        <f>IF(I55="","",SUM(I$24:I55))</f>
        <v/>
      </c>
      <c r="K55" s="1"/>
    </row>
    <row r="56" spans="1:11">
      <c r="A56" s="1">
        <v>132</v>
      </c>
      <c r="B56" s="150"/>
      <c r="C56" s="96"/>
      <c r="D56" s="161" t="str">
        <f>IF(C56="","",SUM(C$24:C56))</f>
        <v/>
      </c>
      <c r="E56" s="1"/>
      <c r="G56" s="1">
        <v>32</v>
      </c>
      <c r="H56" s="150"/>
      <c r="I56" s="96"/>
      <c r="J56" s="162" t="str">
        <f>IF(I56="","",SUM(I$24:I56))</f>
        <v/>
      </c>
      <c r="K56" s="1"/>
    </row>
    <row r="57" spans="1:11">
      <c r="A57" s="1">
        <v>133</v>
      </c>
      <c r="B57" s="150"/>
      <c r="C57" s="96"/>
      <c r="D57" s="161" t="str">
        <f>IF(C57="","",SUM(C$24:C57))</f>
        <v/>
      </c>
      <c r="E57" s="1"/>
      <c r="G57" s="1">
        <v>33</v>
      </c>
      <c r="H57" s="150"/>
      <c r="I57" s="96"/>
      <c r="J57" s="162" t="str">
        <f>IF(I57="","",SUM(I$24:I57))</f>
        <v/>
      </c>
      <c r="K57" s="1"/>
    </row>
    <row r="58" spans="1:11">
      <c r="A58" s="1">
        <v>134</v>
      </c>
      <c r="B58" s="150"/>
      <c r="C58" s="96"/>
      <c r="D58" s="161" t="str">
        <f>IF(C58="","",SUM(C$24:C58))</f>
        <v/>
      </c>
      <c r="E58" s="1"/>
      <c r="G58" s="1">
        <v>34</v>
      </c>
      <c r="H58" s="150"/>
      <c r="I58" s="96"/>
      <c r="J58" s="162" t="str">
        <f>IF(I58="","",SUM(I$24:I58))</f>
        <v/>
      </c>
      <c r="K58" s="1"/>
    </row>
    <row r="59" spans="1:11">
      <c r="A59" s="1">
        <v>135</v>
      </c>
      <c r="B59" s="150"/>
      <c r="C59" s="96"/>
      <c r="D59" s="161" t="str">
        <f>IF(C59="","",SUM(C$24:C59))</f>
        <v/>
      </c>
      <c r="E59" s="1"/>
      <c r="G59" s="1">
        <v>35</v>
      </c>
      <c r="H59" s="150"/>
      <c r="I59" s="96"/>
      <c r="J59" s="162" t="str">
        <f>IF(I59="","",SUM(I$24:I59))</f>
        <v/>
      </c>
      <c r="K59" s="1"/>
    </row>
  </sheetData>
  <sheetProtection password="C93A" sheet="1" objects="1" scenarios="1"/>
  <protectedRanges>
    <protectedRange sqref="F19:K19" name="範囲2"/>
    <protectedRange sqref="D2:G4 D5:D16 D18:D19 I2 H14:J14 I18 B24:C59 H24:I59" name="範囲1"/>
  </protectedRanges>
  <mergeCells count="9">
    <mergeCell ref="D2:G2"/>
    <mergeCell ref="D3:G3"/>
    <mergeCell ref="D22:E22"/>
    <mergeCell ref="J22:K22"/>
    <mergeCell ref="B11:C11"/>
    <mergeCell ref="D4:E4"/>
    <mergeCell ref="F4:G4"/>
    <mergeCell ref="H14:J14"/>
    <mergeCell ref="F19:K1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Header>&amp;L&amp;"ＭＳ 明朝,斜体"&amp;9各階の床面積を考慮した必要耐力の算出法【精算法】Ver1.00　　　P.&amp;P&amp;R&amp;"ＭＳ 明朝,斜体"&amp;9&amp;D   &amp;T</oddHeader>
    <oddFooter>&amp;R&amp;10石川県建築士事務所協会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61"/>
  <sheetViews>
    <sheetView view="pageBreakPreview" zoomScaleNormal="100" zoomScaleSheetLayoutView="100" workbookViewId="0">
      <selection activeCell="E23" sqref="E23"/>
    </sheetView>
  </sheetViews>
  <sheetFormatPr defaultRowHeight="12"/>
  <cols>
    <col min="1" max="1" width="4.25" style="8" customWidth="1"/>
    <col min="2" max="2" width="7.25" style="8" customWidth="1"/>
    <col min="3" max="4" width="6.5" style="8" customWidth="1"/>
    <col min="5" max="5" width="7.25" style="8" customWidth="1"/>
    <col min="6" max="6" width="6.625" style="8" customWidth="1"/>
    <col min="7" max="7" width="7.125" style="8" customWidth="1"/>
    <col min="8" max="8" width="7" style="8" customWidth="1"/>
    <col min="9" max="9" width="7.625" style="8" customWidth="1"/>
    <col min="10" max="11" width="8.125" style="8" customWidth="1"/>
    <col min="12" max="12" width="7.125" style="8" customWidth="1"/>
    <col min="13" max="13" width="7.25" style="8" customWidth="1"/>
    <col min="14" max="14" width="9" style="8"/>
    <col min="15" max="15" width="17.25" style="8" customWidth="1"/>
    <col min="16" max="16" width="8.125" style="8" customWidth="1"/>
    <col min="17" max="17" width="7.375" style="8" customWidth="1"/>
    <col min="18" max="16384" width="9" style="8"/>
  </cols>
  <sheetData>
    <row r="1" spans="1:13">
      <c r="A1" s="8" t="s">
        <v>224</v>
      </c>
    </row>
    <row r="3" spans="1:13" ht="13.5" customHeight="1">
      <c r="A3" s="8" t="s">
        <v>56</v>
      </c>
      <c r="C3" s="8">
        <f>概要と通り!D5</f>
        <v>2</v>
      </c>
      <c r="D3" s="8" t="str">
        <f>IF(C3=1,"木造平屋建",IF(C3=2,"木造2階建","木造３階建"))</f>
        <v>木造2階建</v>
      </c>
      <c r="F3" s="191" t="s">
        <v>57</v>
      </c>
      <c r="G3" s="191"/>
      <c r="H3" s="159">
        <f>IF(C4=1,LOOKUP(C3,{1,2,3;1,2,3}),IF(C4=2,LOOKUP(C3,{1,2,3;4,5,6}),LOOKUP(C3,{1,2,3;7,8,9})))</f>
        <v>5</v>
      </c>
      <c r="I3" s="191" t="s">
        <v>229</v>
      </c>
      <c r="J3" s="191"/>
      <c r="L3" s="52" t="str">
        <f>IF(C3=2,"2階(1層目)","")</f>
        <v>2階(1層目)</v>
      </c>
      <c r="M3" s="16">
        <f>IF(C3=2,VLOOKUP(H3,$E$51:$H$59,2),"")</f>
        <v>2.6</v>
      </c>
    </row>
    <row r="4" spans="1:13">
      <c r="C4" s="8">
        <f>概要と通り!D6</f>
        <v>2</v>
      </c>
      <c r="D4" s="8" t="str">
        <f>IF(C4=1,"軽い建物",IF(C4=2,"重い建物","非常に重い建物"))</f>
        <v>重い建物</v>
      </c>
      <c r="L4" s="52" t="str">
        <f>IF(C3=2,"1階(2層目)","平屋(1層目)")</f>
        <v>1階(2層目)</v>
      </c>
      <c r="M4" s="16">
        <f>IF(C3=2,VLOOKUP(H3,$E$51:$H$59,3),VLOOKUP(H3,$E$51:$H$59,2))</f>
        <v>2</v>
      </c>
    </row>
    <row r="6" spans="1:13">
      <c r="A6" s="8" t="s">
        <v>14</v>
      </c>
    </row>
    <row r="7" spans="1:13" ht="15" customHeight="1">
      <c r="A7" s="70" t="s">
        <v>190</v>
      </c>
      <c r="B7" s="76" t="s">
        <v>79</v>
      </c>
      <c r="C7" s="76" t="s">
        <v>215</v>
      </c>
      <c r="D7" s="76" t="s">
        <v>216</v>
      </c>
      <c r="E7" s="78" t="s">
        <v>230</v>
      </c>
      <c r="F7" s="79"/>
      <c r="G7" s="189" t="s">
        <v>257</v>
      </c>
      <c r="H7" s="190"/>
      <c r="I7" s="76" t="s">
        <v>72</v>
      </c>
      <c r="J7" s="76" t="s">
        <v>71</v>
      </c>
      <c r="K7" s="76" t="s">
        <v>69</v>
      </c>
      <c r="L7" s="76" t="s">
        <v>19</v>
      </c>
      <c r="M7" s="76" t="s">
        <v>18</v>
      </c>
    </row>
    <row r="8" spans="1:13">
      <c r="A8" s="72"/>
      <c r="B8" s="77"/>
      <c r="C8" s="77" t="s">
        <v>55</v>
      </c>
      <c r="D8" s="77" t="s">
        <v>55</v>
      </c>
      <c r="E8" s="64" t="s">
        <v>76</v>
      </c>
      <c r="F8" s="64" t="s">
        <v>77</v>
      </c>
      <c r="G8" s="77" t="s">
        <v>225</v>
      </c>
      <c r="H8" s="77" t="s">
        <v>226</v>
      </c>
      <c r="I8" s="77"/>
      <c r="J8" s="77"/>
      <c r="K8" s="77"/>
      <c r="L8" s="77" t="s">
        <v>181</v>
      </c>
      <c r="M8" s="77" t="s">
        <v>181</v>
      </c>
    </row>
    <row r="9" spans="1:13">
      <c r="A9" s="70" t="s">
        <v>16</v>
      </c>
      <c r="B9" s="63" t="s">
        <v>58</v>
      </c>
      <c r="C9" s="66"/>
      <c r="D9" s="66"/>
      <c r="E9" s="67">
        <v>0</v>
      </c>
      <c r="F9" s="67">
        <v>0</v>
      </c>
      <c r="G9" s="68" t="str">
        <f t="shared" ref="G9:G23" si="0">IF(D9="","",F9+D9/2)</f>
        <v/>
      </c>
      <c r="H9" s="68" t="str">
        <f t="shared" ref="H9:H23" si="1">IF(C9="","",E9+C9/2)</f>
        <v/>
      </c>
      <c r="I9" s="173" t="str">
        <f t="shared" ref="I9:I23" si="2">IF(C9="","",C9*D9)</f>
        <v/>
      </c>
      <c r="J9" s="173" t="str">
        <f t="shared" ref="J9:J23" si="3">IF(G9="","",I9*G9)</f>
        <v/>
      </c>
      <c r="K9" s="173" t="str">
        <f t="shared" ref="K9:K23" si="4">IF(H9="","",I9*H9)</f>
        <v/>
      </c>
      <c r="L9" s="176"/>
      <c r="M9" s="176"/>
    </row>
    <row r="10" spans="1:13">
      <c r="A10" s="71"/>
      <c r="B10" s="63" t="s">
        <v>59</v>
      </c>
      <c r="C10" s="66"/>
      <c r="D10" s="66"/>
      <c r="E10" s="66"/>
      <c r="F10" s="66"/>
      <c r="G10" s="68" t="str">
        <f t="shared" si="0"/>
        <v/>
      </c>
      <c r="H10" s="68" t="str">
        <f t="shared" si="1"/>
        <v/>
      </c>
      <c r="I10" s="173" t="str">
        <f t="shared" si="2"/>
        <v/>
      </c>
      <c r="J10" s="173" t="str">
        <f t="shared" si="3"/>
        <v/>
      </c>
      <c r="K10" s="173" t="str">
        <f t="shared" si="4"/>
        <v/>
      </c>
      <c r="L10" s="176"/>
      <c r="M10" s="176"/>
    </row>
    <row r="11" spans="1:13">
      <c r="A11" s="71"/>
      <c r="B11" s="63" t="s">
        <v>60</v>
      </c>
      <c r="C11" s="69"/>
      <c r="D11" s="69"/>
      <c r="E11" s="69"/>
      <c r="F11" s="69"/>
      <c r="G11" s="68" t="str">
        <f t="shared" si="0"/>
        <v/>
      </c>
      <c r="H11" s="68" t="str">
        <f t="shared" si="1"/>
        <v/>
      </c>
      <c r="I11" s="173" t="str">
        <f t="shared" si="2"/>
        <v/>
      </c>
      <c r="J11" s="173" t="str">
        <f t="shared" si="3"/>
        <v/>
      </c>
      <c r="K11" s="173" t="str">
        <f t="shared" si="4"/>
        <v/>
      </c>
      <c r="L11" s="176"/>
      <c r="M11" s="176"/>
    </row>
    <row r="12" spans="1:13">
      <c r="A12" s="71"/>
      <c r="B12" s="63" t="s">
        <v>61</v>
      </c>
      <c r="C12" s="69"/>
      <c r="D12" s="69"/>
      <c r="E12" s="69"/>
      <c r="F12" s="69"/>
      <c r="G12" s="68" t="str">
        <f t="shared" si="0"/>
        <v/>
      </c>
      <c r="H12" s="68" t="str">
        <f t="shared" si="1"/>
        <v/>
      </c>
      <c r="I12" s="173" t="str">
        <f t="shared" si="2"/>
        <v/>
      </c>
      <c r="J12" s="173" t="str">
        <f t="shared" si="3"/>
        <v/>
      </c>
      <c r="K12" s="173" t="str">
        <f t="shared" si="4"/>
        <v/>
      </c>
      <c r="L12" s="176"/>
      <c r="M12" s="176"/>
    </row>
    <row r="13" spans="1:13">
      <c r="A13" s="71"/>
      <c r="B13" s="63" t="s">
        <v>62</v>
      </c>
      <c r="C13" s="69"/>
      <c r="D13" s="69"/>
      <c r="E13" s="69"/>
      <c r="F13" s="69"/>
      <c r="G13" s="68" t="str">
        <f t="shared" si="0"/>
        <v/>
      </c>
      <c r="H13" s="68" t="str">
        <f t="shared" si="1"/>
        <v/>
      </c>
      <c r="I13" s="173" t="str">
        <f t="shared" si="2"/>
        <v/>
      </c>
      <c r="J13" s="173" t="str">
        <f t="shared" si="3"/>
        <v/>
      </c>
      <c r="K13" s="173" t="str">
        <f t="shared" si="4"/>
        <v/>
      </c>
      <c r="L13" s="176"/>
      <c r="M13" s="176"/>
    </row>
    <row r="14" spans="1:13">
      <c r="A14" s="71"/>
      <c r="B14" s="63" t="s">
        <v>63</v>
      </c>
      <c r="C14" s="69"/>
      <c r="D14" s="69"/>
      <c r="E14" s="69"/>
      <c r="F14" s="69"/>
      <c r="G14" s="68" t="str">
        <f t="shared" si="0"/>
        <v/>
      </c>
      <c r="H14" s="68" t="str">
        <f t="shared" si="1"/>
        <v/>
      </c>
      <c r="I14" s="173" t="str">
        <f t="shared" si="2"/>
        <v/>
      </c>
      <c r="J14" s="173" t="str">
        <f t="shared" si="3"/>
        <v/>
      </c>
      <c r="K14" s="173" t="str">
        <f t="shared" si="4"/>
        <v/>
      </c>
      <c r="L14" s="176"/>
      <c r="M14" s="176"/>
    </row>
    <row r="15" spans="1:13">
      <c r="A15" s="71"/>
      <c r="B15" s="63" t="s">
        <v>64</v>
      </c>
      <c r="C15" s="69"/>
      <c r="D15" s="69"/>
      <c r="E15" s="69"/>
      <c r="F15" s="69"/>
      <c r="G15" s="68" t="str">
        <f t="shared" si="0"/>
        <v/>
      </c>
      <c r="H15" s="68" t="str">
        <f t="shared" si="1"/>
        <v/>
      </c>
      <c r="I15" s="173" t="str">
        <f t="shared" si="2"/>
        <v/>
      </c>
      <c r="J15" s="173" t="str">
        <f t="shared" si="3"/>
        <v/>
      </c>
      <c r="K15" s="173" t="str">
        <f t="shared" si="4"/>
        <v/>
      </c>
      <c r="L15" s="176"/>
      <c r="M15" s="176"/>
    </row>
    <row r="16" spans="1:13">
      <c r="A16" s="71"/>
      <c r="B16" s="63" t="s">
        <v>65</v>
      </c>
      <c r="C16" s="69"/>
      <c r="D16" s="69"/>
      <c r="E16" s="69"/>
      <c r="F16" s="69"/>
      <c r="G16" s="68" t="str">
        <f t="shared" si="0"/>
        <v/>
      </c>
      <c r="H16" s="68" t="str">
        <f t="shared" si="1"/>
        <v/>
      </c>
      <c r="I16" s="173" t="str">
        <f t="shared" si="2"/>
        <v/>
      </c>
      <c r="J16" s="173" t="str">
        <f t="shared" si="3"/>
        <v/>
      </c>
      <c r="K16" s="173" t="str">
        <f t="shared" si="4"/>
        <v/>
      </c>
      <c r="L16" s="176"/>
      <c r="M16" s="176"/>
    </row>
    <row r="17" spans="1:14">
      <c r="A17" s="71"/>
      <c r="B17" s="63" t="s">
        <v>66</v>
      </c>
      <c r="C17" s="69"/>
      <c r="D17" s="69"/>
      <c r="E17" s="69"/>
      <c r="F17" s="69"/>
      <c r="G17" s="68" t="str">
        <f t="shared" si="0"/>
        <v/>
      </c>
      <c r="H17" s="68" t="str">
        <f t="shared" si="1"/>
        <v/>
      </c>
      <c r="I17" s="173" t="str">
        <f t="shared" si="2"/>
        <v/>
      </c>
      <c r="J17" s="173" t="str">
        <f t="shared" si="3"/>
        <v/>
      </c>
      <c r="K17" s="173" t="str">
        <f t="shared" si="4"/>
        <v/>
      </c>
      <c r="L17" s="176"/>
      <c r="M17" s="176"/>
    </row>
    <row r="18" spans="1:14">
      <c r="A18" s="71"/>
      <c r="B18" s="63" t="s">
        <v>262</v>
      </c>
      <c r="C18" s="69"/>
      <c r="D18" s="69"/>
      <c r="E18" s="69"/>
      <c r="F18" s="69"/>
      <c r="G18" s="68" t="str">
        <f t="shared" si="0"/>
        <v/>
      </c>
      <c r="H18" s="68" t="str">
        <f t="shared" si="1"/>
        <v/>
      </c>
      <c r="I18" s="173" t="str">
        <f t="shared" si="2"/>
        <v/>
      </c>
      <c r="J18" s="173" t="str">
        <f t="shared" si="3"/>
        <v/>
      </c>
      <c r="K18" s="173" t="str">
        <f t="shared" si="4"/>
        <v/>
      </c>
      <c r="L18" s="176"/>
      <c r="M18" s="176"/>
    </row>
    <row r="19" spans="1:14">
      <c r="A19" s="71"/>
      <c r="B19" s="63" t="s">
        <v>67</v>
      </c>
      <c r="C19" s="69"/>
      <c r="D19" s="69"/>
      <c r="E19" s="69"/>
      <c r="F19" s="69"/>
      <c r="G19" s="68" t="str">
        <f t="shared" si="0"/>
        <v/>
      </c>
      <c r="H19" s="68" t="str">
        <f t="shared" si="1"/>
        <v/>
      </c>
      <c r="I19" s="173" t="str">
        <f t="shared" si="2"/>
        <v/>
      </c>
      <c r="J19" s="173" t="str">
        <f t="shared" si="3"/>
        <v/>
      </c>
      <c r="K19" s="173" t="str">
        <f t="shared" si="4"/>
        <v/>
      </c>
      <c r="L19" s="176"/>
      <c r="M19" s="176"/>
    </row>
    <row r="20" spans="1:14">
      <c r="A20" s="71"/>
      <c r="B20" s="63" t="s">
        <v>263</v>
      </c>
      <c r="C20" s="69"/>
      <c r="D20" s="69"/>
      <c r="E20" s="69"/>
      <c r="F20" s="69"/>
      <c r="G20" s="68" t="str">
        <f t="shared" si="0"/>
        <v/>
      </c>
      <c r="H20" s="68" t="str">
        <f t="shared" si="1"/>
        <v/>
      </c>
      <c r="I20" s="173" t="str">
        <f t="shared" si="2"/>
        <v/>
      </c>
      <c r="J20" s="173" t="str">
        <f t="shared" si="3"/>
        <v/>
      </c>
      <c r="K20" s="173" t="str">
        <f t="shared" si="4"/>
        <v/>
      </c>
      <c r="L20" s="176"/>
      <c r="M20" s="176"/>
    </row>
    <row r="21" spans="1:14">
      <c r="A21" s="71"/>
      <c r="B21" s="63" t="s">
        <v>264</v>
      </c>
      <c r="C21" s="69"/>
      <c r="D21" s="69"/>
      <c r="E21" s="69"/>
      <c r="F21" s="69"/>
      <c r="G21" s="68" t="str">
        <f t="shared" si="0"/>
        <v/>
      </c>
      <c r="H21" s="68" t="str">
        <f t="shared" si="1"/>
        <v/>
      </c>
      <c r="I21" s="173" t="str">
        <f t="shared" si="2"/>
        <v/>
      </c>
      <c r="J21" s="173" t="str">
        <f t="shared" si="3"/>
        <v/>
      </c>
      <c r="K21" s="173" t="str">
        <f t="shared" si="4"/>
        <v/>
      </c>
      <c r="L21" s="176"/>
      <c r="M21" s="176"/>
    </row>
    <row r="22" spans="1:14">
      <c r="A22" s="71"/>
      <c r="B22" s="63" t="s">
        <v>265</v>
      </c>
      <c r="C22" s="69"/>
      <c r="D22" s="69"/>
      <c r="E22" s="69"/>
      <c r="F22" s="69"/>
      <c r="G22" s="68" t="str">
        <f t="shared" si="0"/>
        <v/>
      </c>
      <c r="H22" s="68" t="str">
        <f t="shared" si="1"/>
        <v/>
      </c>
      <c r="I22" s="173" t="str">
        <f t="shared" si="2"/>
        <v/>
      </c>
      <c r="J22" s="173" t="str">
        <f t="shared" si="3"/>
        <v/>
      </c>
      <c r="K22" s="173" t="str">
        <f t="shared" si="4"/>
        <v/>
      </c>
      <c r="L22" s="176"/>
      <c r="M22" s="176"/>
    </row>
    <row r="23" spans="1:14">
      <c r="A23" s="71"/>
      <c r="B23" s="73" t="s">
        <v>266</v>
      </c>
      <c r="C23" s="69"/>
      <c r="D23" s="69"/>
      <c r="E23" s="69"/>
      <c r="F23" s="69"/>
      <c r="G23" s="68" t="str">
        <f t="shared" si="0"/>
        <v/>
      </c>
      <c r="H23" s="68" t="str">
        <f t="shared" si="1"/>
        <v/>
      </c>
      <c r="I23" s="173" t="str">
        <f t="shared" si="2"/>
        <v/>
      </c>
      <c r="J23" s="173" t="str">
        <f t="shared" si="3"/>
        <v/>
      </c>
      <c r="K23" s="173" t="str">
        <f t="shared" si="4"/>
        <v/>
      </c>
      <c r="L23" s="176"/>
      <c r="M23" s="176"/>
    </row>
    <row r="24" spans="1:14">
      <c r="A24" s="72"/>
      <c r="B24" s="73"/>
      <c r="C24" s="74"/>
      <c r="D24" s="74"/>
      <c r="E24" s="74"/>
      <c r="F24" s="74"/>
      <c r="G24" s="74"/>
      <c r="H24" s="75" t="s">
        <v>211</v>
      </c>
      <c r="I24" s="173">
        <f>SUM(I9:I23)</f>
        <v>0</v>
      </c>
      <c r="J24" s="173">
        <f>SUM(J9:J23)</f>
        <v>0</v>
      </c>
      <c r="K24" s="173">
        <f>SUM(K9:K23)</f>
        <v>0</v>
      </c>
      <c r="L24" s="174">
        <f>IF(I24=0,0,IF(C3=2,($M$3*$J$39+$M$4*$J$24)/($M$3*$I$39+$M$4*$I$24),IF(C3=1,($M$4*J24)/($M$4*I24))))</f>
        <v>0</v>
      </c>
      <c r="M24" s="174">
        <f>IF(I24=0,0,IF(C3=2,($M$3*$K$39+$M$4*$K$24)/($M$3*$I$39+$M$4*$I$24),IF(C3=1,$M$4*($K$24)/($M$4*$I$24))))</f>
        <v>0</v>
      </c>
      <c r="N24" s="17"/>
    </row>
    <row r="26" spans="1:14">
      <c r="A26" s="8" t="s">
        <v>14</v>
      </c>
    </row>
    <row r="27" spans="1:14" ht="16.5" customHeight="1">
      <c r="A27" s="70" t="s">
        <v>190</v>
      </c>
      <c r="B27" s="70" t="s">
        <v>79</v>
      </c>
      <c r="C27" s="76" t="s">
        <v>215</v>
      </c>
      <c r="D27" s="76" t="s">
        <v>216</v>
      </c>
      <c r="E27" s="65" t="s">
        <v>230</v>
      </c>
      <c r="F27" s="64"/>
      <c r="G27" s="189" t="s">
        <v>257</v>
      </c>
      <c r="H27" s="190"/>
      <c r="I27" s="76" t="s">
        <v>73</v>
      </c>
      <c r="J27" s="76" t="s">
        <v>68</v>
      </c>
      <c r="K27" s="76" t="s">
        <v>70</v>
      </c>
      <c r="L27" s="76" t="s">
        <v>19</v>
      </c>
      <c r="M27" s="76" t="s">
        <v>18</v>
      </c>
    </row>
    <row r="28" spans="1:14">
      <c r="A28" s="72"/>
      <c r="B28" s="72"/>
      <c r="C28" s="77" t="s">
        <v>42</v>
      </c>
      <c r="D28" s="77" t="s">
        <v>42</v>
      </c>
      <c r="E28" s="64" t="s">
        <v>76</v>
      </c>
      <c r="F28" s="64" t="s">
        <v>77</v>
      </c>
      <c r="G28" s="72" t="s">
        <v>225</v>
      </c>
      <c r="H28" s="72" t="s">
        <v>226</v>
      </c>
      <c r="I28" s="72"/>
      <c r="J28" s="72"/>
      <c r="K28" s="72"/>
      <c r="L28" s="77" t="s">
        <v>181</v>
      </c>
      <c r="M28" s="77" t="s">
        <v>181</v>
      </c>
    </row>
    <row r="29" spans="1:14">
      <c r="A29" s="70" t="str">
        <f>IF(C3=1,"","2階")</f>
        <v>2階</v>
      </c>
      <c r="B29" s="63" t="s">
        <v>267</v>
      </c>
      <c r="C29" s="66"/>
      <c r="D29" s="66"/>
      <c r="E29" s="66"/>
      <c r="F29" s="66"/>
      <c r="G29" s="68" t="str">
        <f t="shared" ref="G29:G38" si="5">IF(D29="","",F29+D29/2)</f>
        <v/>
      </c>
      <c r="H29" s="68" t="str">
        <f t="shared" ref="H29:H38" si="6">IF(C29="","",E29+C29/2)</f>
        <v/>
      </c>
      <c r="I29" s="173" t="str">
        <f t="shared" ref="I29:I38" si="7">IF(C29="","",C29*D29)</f>
        <v/>
      </c>
      <c r="J29" s="173" t="str">
        <f t="shared" ref="J29:J38" si="8">IF(G29="","",I29*G29)</f>
        <v/>
      </c>
      <c r="K29" s="173" t="str">
        <f t="shared" ref="K29:K38" si="9">IF(H29="","",I29*H29)</f>
        <v/>
      </c>
      <c r="L29" s="176"/>
      <c r="M29" s="176"/>
    </row>
    <row r="30" spans="1:14">
      <c r="A30" s="71"/>
      <c r="B30" s="63" t="s">
        <v>268</v>
      </c>
      <c r="C30" s="66"/>
      <c r="D30" s="66"/>
      <c r="E30" s="66"/>
      <c r="F30" s="66"/>
      <c r="G30" s="68" t="str">
        <f t="shared" si="5"/>
        <v/>
      </c>
      <c r="H30" s="68" t="str">
        <f t="shared" si="6"/>
        <v/>
      </c>
      <c r="I30" s="173" t="str">
        <f t="shared" si="7"/>
        <v/>
      </c>
      <c r="J30" s="173" t="str">
        <f t="shared" si="8"/>
        <v/>
      </c>
      <c r="K30" s="173" t="str">
        <f t="shared" si="9"/>
        <v/>
      </c>
      <c r="L30" s="176"/>
      <c r="M30" s="176"/>
    </row>
    <row r="31" spans="1:14">
      <c r="A31" s="71"/>
      <c r="B31" s="63" t="s">
        <v>269</v>
      </c>
      <c r="C31" s="69"/>
      <c r="D31" s="69"/>
      <c r="E31" s="69"/>
      <c r="F31" s="69"/>
      <c r="G31" s="68" t="str">
        <f t="shared" si="5"/>
        <v/>
      </c>
      <c r="H31" s="68" t="str">
        <f t="shared" si="6"/>
        <v/>
      </c>
      <c r="I31" s="173" t="str">
        <f t="shared" si="7"/>
        <v/>
      </c>
      <c r="J31" s="173" t="str">
        <f t="shared" si="8"/>
        <v/>
      </c>
      <c r="K31" s="173" t="str">
        <f t="shared" si="9"/>
        <v/>
      </c>
      <c r="L31" s="176"/>
      <c r="M31" s="176"/>
    </row>
    <row r="32" spans="1:14">
      <c r="A32" s="71"/>
      <c r="B32" s="63" t="s">
        <v>270</v>
      </c>
      <c r="C32" s="69"/>
      <c r="D32" s="69"/>
      <c r="E32" s="69"/>
      <c r="F32" s="69"/>
      <c r="G32" s="68" t="str">
        <f t="shared" si="5"/>
        <v/>
      </c>
      <c r="H32" s="68" t="str">
        <f t="shared" si="6"/>
        <v/>
      </c>
      <c r="I32" s="173" t="str">
        <f t="shared" si="7"/>
        <v/>
      </c>
      <c r="J32" s="173" t="str">
        <f t="shared" si="8"/>
        <v/>
      </c>
      <c r="K32" s="173" t="str">
        <f t="shared" si="9"/>
        <v/>
      </c>
      <c r="L32" s="176"/>
      <c r="M32" s="176"/>
    </row>
    <row r="33" spans="1:14">
      <c r="A33" s="71"/>
      <c r="B33" s="63" t="s">
        <v>271</v>
      </c>
      <c r="C33" s="69"/>
      <c r="D33" s="69"/>
      <c r="E33" s="69"/>
      <c r="F33" s="69"/>
      <c r="G33" s="68" t="str">
        <f t="shared" si="5"/>
        <v/>
      </c>
      <c r="H33" s="68" t="str">
        <f t="shared" si="6"/>
        <v/>
      </c>
      <c r="I33" s="173" t="str">
        <f t="shared" si="7"/>
        <v/>
      </c>
      <c r="J33" s="173" t="str">
        <f t="shared" si="8"/>
        <v/>
      </c>
      <c r="K33" s="173" t="str">
        <f t="shared" si="9"/>
        <v/>
      </c>
      <c r="L33" s="176"/>
      <c r="M33" s="176"/>
    </row>
    <row r="34" spans="1:14">
      <c r="A34" s="71"/>
      <c r="B34" s="63" t="s">
        <v>272</v>
      </c>
      <c r="C34" s="69"/>
      <c r="D34" s="69"/>
      <c r="E34" s="69"/>
      <c r="F34" s="69"/>
      <c r="G34" s="68" t="str">
        <f t="shared" si="5"/>
        <v/>
      </c>
      <c r="H34" s="68" t="str">
        <f t="shared" si="6"/>
        <v/>
      </c>
      <c r="I34" s="173" t="str">
        <f t="shared" si="7"/>
        <v/>
      </c>
      <c r="J34" s="173" t="str">
        <f t="shared" si="8"/>
        <v/>
      </c>
      <c r="K34" s="173" t="str">
        <f t="shared" si="9"/>
        <v/>
      </c>
      <c r="L34" s="176"/>
      <c r="M34" s="176"/>
    </row>
    <row r="35" spans="1:14">
      <c r="A35" s="71"/>
      <c r="B35" s="63" t="s">
        <v>273</v>
      </c>
      <c r="C35" s="69"/>
      <c r="D35" s="69"/>
      <c r="E35" s="69"/>
      <c r="F35" s="69"/>
      <c r="G35" s="68" t="str">
        <f t="shared" si="5"/>
        <v/>
      </c>
      <c r="H35" s="68" t="str">
        <f t="shared" si="6"/>
        <v/>
      </c>
      <c r="I35" s="173" t="str">
        <f t="shared" si="7"/>
        <v/>
      </c>
      <c r="J35" s="173" t="str">
        <f t="shared" si="8"/>
        <v/>
      </c>
      <c r="K35" s="173" t="str">
        <f t="shared" si="9"/>
        <v/>
      </c>
      <c r="L35" s="176"/>
      <c r="M35" s="176"/>
    </row>
    <row r="36" spans="1:14">
      <c r="A36" s="71"/>
      <c r="B36" s="63" t="s">
        <v>274</v>
      </c>
      <c r="C36" s="69"/>
      <c r="D36" s="69"/>
      <c r="E36" s="69"/>
      <c r="F36" s="69"/>
      <c r="G36" s="68" t="str">
        <f t="shared" si="5"/>
        <v/>
      </c>
      <c r="H36" s="68" t="str">
        <f t="shared" si="6"/>
        <v/>
      </c>
      <c r="I36" s="173" t="str">
        <f t="shared" si="7"/>
        <v/>
      </c>
      <c r="J36" s="173" t="str">
        <f t="shared" si="8"/>
        <v/>
      </c>
      <c r="K36" s="173" t="str">
        <f t="shared" si="9"/>
        <v/>
      </c>
      <c r="L36" s="176"/>
      <c r="M36" s="176"/>
    </row>
    <row r="37" spans="1:14">
      <c r="A37" s="71"/>
      <c r="B37" s="63" t="s">
        <v>275</v>
      </c>
      <c r="C37" s="69"/>
      <c r="D37" s="69"/>
      <c r="E37" s="69"/>
      <c r="F37" s="69"/>
      <c r="G37" s="68" t="str">
        <f t="shared" si="5"/>
        <v/>
      </c>
      <c r="H37" s="68" t="str">
        <f t="shared" si="6"/>
        <v/>
      </c>
      <c r="I37" s="173" t="str">
        <f t="shared" si="7"/>
        <v/>
      </c>
      <c r="J37" s="173" t="str">
        <f t="shared" si="8"/>
        <v/>
      </c>
      <c r="K37" s="173" t="str">
        <f t="shared" si="9"/>
        <v/>
      </c>
      <c r="L37" s="176"/>
      <c r="M37" s="176"/>
    </row>
    <row r="38" spans="1:14">
      <c r="A38" s="71"/>
      <c r="B38" s="63" t="s">
        <v>276</v>
      </c>
      <c r="C38" s="69"/>
      <c r="D38" s="69"/>
      <c r="E38" s="69"/>
      <c r="F38" s="69"/>
      <c r="G38" s="68" t="str">
        <f t="shared" si="5"/>
        <v/>
      </c>
      <c r="H38" s="68" t="str">
        <f t="shared" si="6"/>
        <v/>
      </c>
      <c r="I38" s="173" t="str">
        <f t="shared" si="7"/>
        <v/>
      </c>
      <c r="J38" s="173" t="str">
        <f t="shared" si="8"/>
        <v/>
      </c>
      <c r="K38" s="173" t="str">
        <f t="shared" si="9"/>
        <v/>
      </c>
      <c r="L38" s="176"/>
      <c r="M38" s="176"/>
    </row>
    <row r="39" spans="1:14">
      <c r="A39" s="72"/>
      <c r="B39" s="73"/>
      <c r="C39" s="74"/>
      <c r="D39" s="74"/>
      <c r="E39" s="74"/>
      <c r="F39" s="74"/>
      <c r="G39" s="74"/>
      <c r="H39" s="75" t="s">
        <v>211</v>
      </c>
      <c r="I39" s="173">
        <f>SUM(I29:I38)</f>
        <v>0</v>
      </c>
      <c r="J39" s="173">
        <f>SUM(J29:J38)</f>
        <v>0</v>
      </c>
      <c r="K39" s="173">
        <f>SUM(K29:K38)</f>
        <v>0</v>
      </c>
      <c r="L39" s="174">
        <f>IF(I39=0,0,($M$3*J39)/($M$3*I39))</f>
        <v>0</v>
      </c>
      <c r="M39" s="174">
        <f>IF(I39=0,0,$M$3*($K$39)/($M$3*$I$39))</f>
        <v>0</v>
      </c>
      <c r="N39" s="17"/>
    </row>
    <row r="42" spans="1:14">
      <c r="I42" s="169" t="s">
        <v>227</v>
      </c>
    </row>
    <row r="43" spans="1:14">
      <c r="I43" s="15" t="s">
        <v>228</v>
      </c>
    </row>
    <row r="47" spans="1:14">
      <c r="B47" s="18" t="s">
        <v>4</v>
      </c>
      <c r="C47" s="18"/>
      <c r="D47" s="18"/>
      <c r="E47" s="18"/>
      <c r="F47" s="18"/>
      <c r="G47" s="18"/>
      <c r="H47" s="18"/>
    </row>
    <row r="48" spans="1:14">
      <c r="B48" s="9"/>
      <c r="C48" s="10"/>
      <c r="D48" s="11"/>
      <c r="E48" s="11"/>
      <c r="F48" s="186" t="s">
        <v>10</v>
      </c>
      <c r="G48" s="187"/>
      <c r="H48" s="188"/>
      <c r="J48" s="70"/>
      <c r="K48" s="134"/>
      <c r="L48" s="70"/>
    </row>
    <row r="49" spans="2:12">
      <c r="B49" s="9"/>
      <c r="C49" s="10"/>
      <c r="D49" s="11"/>
      <c r="E49" s="12"/>
      <c r="F49" s="11" t="s">
        <v>11</v>
      </c>
      <c r="G49" s="11" t="s">
        <v>12</v>
      </c>
      <c r="H49" s="11" t="s">
        <v>13</v>
      </c>
      <c r="J49" s="71"/>
      <c r="K49" s="136"/>
      <c r="L49" s="71"/>
    </row>
    <row r="50" spans="2:12">
      <c r="B50" s="9"/>
      <c r="C50" s="10"/>
      <c r="D50" s="11"/>
      <c r="E50" s="11"/>
      <c r="F50" s="11">
        <v>1</v>
      </c>
      <c r="G50" s="11">
        <v>2</v>
      </c>
      <c r="H50" s="11">
        <v>3</v>
      </c>
      <c r="J50" s="71" t="s">
        <v>278</v>
      </c>
      <c r="K50" s="136"/>
      <c r="L50" s="136" t="s">
        <v>218</v>
      </c>
    </row>
    <row r="51" spans="2:12">
      <c r="B51" s="9" t="s">
        <v>5</v>
      </c>
      <c r="C51" s="10"/>
      <c r="D51" s="118" t="s">
        <v>6</v>
      </c>
      <c r="E51" s="11">
        <v>1</v>
      </c>
      <c r="F51" s="13">
        <v>1.43</v>
      </c>
      <c r="G51" s="14"/>
      <c r="H51" s="14"/>
      <c r="I51" s="159"/>
      <c r="J51" s="71"/>
      <c r="K51" s="136" t="s">
        <v>218</v>
      </c>
      <c r="L51" s="71"/>
    </row>
    <row r="52" spans="2:12">
      <c r="B52" s="9"/>
      <c r="C52" s="10"/>
      <c r="D52" s="118" t="s">
        <v>7</v>
      </c>
      <c r="E52" s="11">
        <v>2</v>
      </c>
      <c r="F52" s="13">
        <v>2.15</v>
      </c>
      <c r="G52" s="13">
        <v>1.43</v>
      </c>
      <c r="H52" s="14"/>
      <c r="I52" s="159" t="s">
        <v>251</v>
      </c>
      <c r="J52" s="72"/>
      <c r="K52" s="136"/>
      <c r="L52" s="72"/>
    </row>
    <row r="53" spans="2:12">
      <c r="B53" s="9"/>
      <c r="C53" s="10"/>
      <c r="D53" s="118" t="s">
        <v>17</v>
      </c>
      <c r="E53" s="11">
        <v>3</v>
      </c>
      <c r="F53" s="13">
        <v>2.15</v>
      </c>
      <c r="G53" s="13">
        <v>2.15</v>
      </c>
      <c r="H53" s="13">
        <v>1.43</v>
      </c>
      <c r="J53" s="135"/>
      <c r="K53" s="136"/>
    </row>
    <row r="54" spans="2:12">
      <c r="B54" s="9" t="s">
        <v>8</v>
      </c>
      <c r="C54" s="10"/>
      <c r="D54" s="118" t="s">
        <v>6</v>
      </c>
      <c r="E54" s="11">
        <v>4</v>
      </c>
      <c r="F54" s="13">
        <v>2</v>
      </c>
      <c r="G54" s="14"/>
      <c r="H54" s="14"/>
      <c r="J54" s="137"/>
      <c r="K54" s="138"/>
    </row>
    <row r="55" spans="2:12">
      <c r="B55" s="9"/>
      <c r="C55" s="10"/>
      <c r="D55" s="118" t="s">
        <v>7</v>
      </c>
      <c r="E55" s="11">
        <v>5</v>
      </c>
      <c r="F55" s="13">
        <v>2.6</v>
      </c>
      <c r="G55" s="13">
        <v>2</v>
      </c>
      <c r="H55" s="14"/>
      <c r="J55" s="170" t="s">
        <v>252</v>
      </c>
    </row>
    <row r="56" spans="2:12">
      <c r="B56" s="9"/>
      <c r="C56" s="10"/>
      <c r="D56" s="118" t="s">
        <v>17</v>
      </c>
      <c r="E56" s="11">
        <v>6</v>
      </c>
      <c r="F56" s="13">
        <v>2.6</v>
      </c>
      <c r="G56" s="13">
        <v>2.6</v>
      </c>
      <c r="H56" s="13">
        <v>2</v>
      </c>
      <c r="J56" s="170"/>
    </row>
    <row r="57" spans="2:12">
      <c r="B57" s="9" t="s">
        <v>9</v>
      </c>
      <c r="C57" s="10"/>
      <c r="D57" s="118" t="s">
        <v>6</v>
      </c>
      <c r="E57" s="11">
        <v>7</v>
      </c>
      <c r="F57" s="13">
        <v>3.23</v>
      </c>
      <c r="G57" s="14"/>
      <c r="H57" s="14"/>
      <c r="I57" s="175" t="s">
        <v>258</v>
      </c>
      <c r="J57" s="8" t="s">
        <v>212</v>
      </c>
    </row>
    <row r="58" spans="2:12">
      <c r="B58" s="9"/>
      <c r="C58" s="10"/>
      <c r="D58" s="118" t="s">
        <v>7</v>
      </c>
      <c r="E58" s="11">
        <v>8</v>
      </c>
      <c r="F58" s="13">
        <v>2.85</v>
      </c>
      <c r="G58" s="13">
        <v>3.23</v>
      </c>
      <c r="H58" s="14"/>
    </row>
    <row r="59" spans="2:12">
      <c r="B59" s="9"/>
      <c r="C59" s="10"/>
      <c r="D59" s="118" t="s">
        <v>17</v>
      </c>
      <c r="E59" s="11">
        <v>9</v>
      </c>
      <c r="F59" s="13">
        <v>2.85</v>
      </c>
      <c r="G59" s="13">
        <v>2.85</v>
      </c>
      <c r="H59" s="13">
        <v>3.23</v>
      </c>
      <c r="J59" s="139" t="s">
        <v>213</v>
      </c>
    </row>
    <row r="60" spans="2:12">
      <c r="B60" s="18" t="s">
        <v>217</v>
      </c>
      <c r="C60" s="18"/>
      <c r="D60" s="18"/>
      <c r="E60" s="18"/>
      <c r="F60" s="18"/>
      <c r="G60" s="18"/>
      <c r="H60" s="18"/>
    </row>
    <row r="61" spans="2:12">
      <c r="J61" s="52" t="s">
        <v>214</v>
      </c>
    </row>
  </sheetData>
  <sheetProtection password="C93A" sheet="1" objects="1" scenarios="1"/>
  <protectedRanges>
    <protectedRange sqref="C9:D9 C10:F23 C29:F38" name="範囲2"/>
    <protectedRange sqref="C9:D16 E10:F16 C29:F38 C17:F23" name="範囲1"/>
  </protectedRanges>
  <mergeCells count="5">
    <mergeCell ref="F48:H48"/>
    <mergeCell ref="G27:H27"/>
    <mergeCell ref="G7:H7"/>
    <mergeCell ref="F3:G3"/>
    <mergeCell ref="I3:J3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blackAndWhite="1" r:id="rId1"/>
  <headerFooter>
    <oddHeader>&amp;L&amp;"ＭＳ 明朝,斜体"&amp;9各階の床面積を考慮した必要耐力の算出法【精算法】Ver1.00　　　P.&amp;P&amp;R&amp;"ＭＳ 明朝,斜体"&amp;9&amp;D   &amp;T</oddHeader>
    <oddFooter>&amp;R&amp;10石川県建築士事務所協会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G66"/>
  <sheetViews>
    <sheetView view="pageBreakPreview" zoomScaleNormal="100" zoomScaleSheetLayoutView="100" workbookViewId="0">
      <pane ySplit="4" topLeftCell="A17" activePane="bottomLeft" state="frozen"/>
      <selection pane="bottomLeft" activeCell="E5" sqref="E5"/>
    </sheetView>
  </sheetViews>
  <sheetFormatPr defaultRowHeight="12"/>
  <cols>
    <col min="1" max="2" width="3.625" style="8" customWidth="1"/>
    <col min="3" max="3" width="4.125" style="8" customWidth="1"/>
    <col min="4" max="4" width="5.5" style="8" customWidth="1"/>
    <col min="5" max="5" width="6.875" style="8" customWidth="1"/>
    <col min="6" max="6" width="5.625" style="8" customWidth="1"/>
    <col min="7" max="7" width="6.625" style="8" customWidth="1"/>
    <col min="8" max="8" width="2.125" style="8" customWidth="1"/>
    <col min="9" max="9" width="6.625" style="8" customWidth="1"/>
    <col min="10" max="10" width="2.125" style="8" customWidth="1"/>
    <col min="11" max="11" width="6.625" style="8" customWidth="1"/>
    <col min="12" max="12" width="2.125" style="8" customWidth="1"/>
    <col min="13" max="13" width="8.625" style="8" customWidth="1"/>
    <col min="14" max="14" width="9.125" style="8" customWidth="1"/>
    <col min="15" max="15" width="8.625" style="8" customWidth="1"/>
    <col min="16" max="16" width="8.5" style="8" customWidth="1"/>
    <col min="17" max="17" width="0.75" style="8" customWidth="1"/>
    <col min="18" max="19" width="3.625" style="8" customWidth="1"/>
    <col min="20" max="20" width="4.375" style="8" customWidth="1"/>
    <col min="21" max="21" width="5.25" style="8" customWidth="1"/>
    <col min="22" max="22" width="6.875" style="8" customWidth="1"/>
    <col min="23" max="23" width="5.625" style="8" customWidth="1"/>
    <col min="24" max="24" width="6.75" style="8" customWidth="1"/>
    <col min="25" max="25" width="2.125" style="8" customWidth="1"/>
    <col min="26" max="26" width="6.625" style="8" customWidth="1"/>
    <col min="27" max="27" width="2.125" style="8" customWidth="1"/>
    <col min="28" max="28" width="6.625" style="8" customWidth="1"/>
    <col min="29" max="29" width="2.125" style="8" customWidth="1"/>
    <col min="30" max="30" width="8.625" style="8" customWidth="1"/>
    <col min="31" max="31" width="9.125" style="8" customWidth="1"/>
    <col min="32" max="32" width="8.5" style="8" customWidth="1"/>
    <col min="33" max="33" width="8.625" style="8" customWidth="1"/>
    <col min="34" max="34" width="2.25" style="8" customWidth="1"/>
    <col min="35" max="16384" width="9" style="8"/>
  </cols>
  <sheetData>
    <row r="1" spans="1:33">
      <c r="A1" s="8" t="s">
        <v>247</v>
      </c>
      <c r="R1" s="8" t="s">
        <v>247</v>
      </c>
    </row>
    <row r="2" spans="1:33">
      <c r="C2" s="168" t="s">
        <v>246</v>
      </c>
      <c r="S2" s="8" t="s">
        <v>248</v>
      </c>
    </row>
    <row r="3" spans="1:33" ht="27.75" customHeight="1">
      <c r="A3" s="76" t="s">
        <v>0</v>
      </c>
      <c r="B3" s="76" t="s">
        <v>43</v>
      </c>
      <c r="C3" s="76" t="s">
        <v>44</v>
      </c>
      <c r="D3" s="84" t="s">
        <v>236</v>
      </c>
      <c r="E3" s="171" t="s">
        <v>45</v>
      </c>
      <c r="F3" s="76" t="s">
        <v>78</v>
      </c>
      <c r="G3" s="76" t="s">
        <v>2</v>
      </c>
      <c r="H3" s="76"/>
      <c r="I3" s="167" t="s">
        <v>233</v>
      </c>
      <c r="J3" s="76"/>
      <c r="K3" s="76" t="s">
        <v>3</v>
      </c>
      <c r="L3" s="76"/>
      <c r="M3" s="76" t="s">
        <v>244</v>
      </c>
      <c r="N3" s="166" t="s">
        <v>259</v>
      </c>
      <c r="O3" s="76" t="s">
        <v>74</v>
      </c>
      <c r="P3" s="76" t="s">
        <v>221</v>
      </c>
      <c r="R3" s="76" t="s">
        <v>0</v>
      </c>
      <c r="S3" s="76" t="s">
        <v>43</v>
      </c>
      <c r="T3" s="76" t="s">
        <v>44</v>
      </c>
      <c r="U3" s="84" t="s">
        <v>236</v>
      </c>
      <c r="V3" s="171" t="s">
        <v>45</v>
      </c>
      <c r="W3" s="76" t="s">
        <v>78</v>
      </c>
      <c r="X3" s="76" t="s">
        <v>2</v>
      </c>
      <c r="Y3" s="76"/>
      <c r="Z3" s="167" t="s">
        <v>233</v>
      </c>
      <c r="AA3" s="76"/>
      <c r="AB3" s="76" t="s">
        <v>3</v>
      </c>
      <c r="AC3" s="76"/>
      <c r="AD3" s="76" t="s">
        <v>244</v>
      </c>
      <c r="AE3" s="165" t="s">
        <v>260</v>
      </c>
      <c r="AF3" s="76" t="s">
        <v>80</v>
      </c>
      <c r="AG3" s="76" t="s">
        <v>222</v>
      </c>
    </row>
    <row r="4" spans="1:33">
      <c r="A4" s="72"/>
      <c r="B4" s="72"/>
      <c r="C4" s="72"/>
      <c r="D4" s="72"/>
      <c r="E4" s="72"/>
      <c r="F4" s="72"/>
      <c r="G4" s="72"/>
      <c r="H4" s="72"/>
      <c r="I4" s="72"/>
      <c r="J4" s="72"/>
      <c r="K4" s="77" t="s">
        <v>202</v>
      </c>
      <c r="L4" s="72"/>
      <c r="M4" s="77" t="s">
        <v>234</v>
      </c>
      <c r="N4" s="77" t="s">
        <v>42</v>
      </c>
      <c r="O4" s="72"/>
      <c r="P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7" t="s">
        <v>202</v>
      </c>
      <c r="AC4" s="72"/>
      <c r="AD4" s="72"/>
      <c r="AE4" s="77" t="s">
        <v>42</v>
      </c>
      <c r="AF4" s="72"/>
      <c r="AG4" s="72"/>
    </row>
    <row r="5" spans="1:33">
      <c r="A5" s="70">
        <v>1</v>
      </c>
      <c r="B5" s="70" t="s">
        <v>255</v>
      </c>
      <c r="C5" s="93"/>
      <c r="D5" s="154"/>
      <c r="E5" s="64" t="str">
        <f>IF(D5="","",LOOKUP(D5,概要と通り!$G$24:$G$54,概要と通り!$H$24:$H$54))</f>
        <v/>
      </c>
      <c r="F5" s="154"/>
      <c r="G5" s="155"/>
      <c r="H5" s="64" t="str">
        <f t="shared" ref="H5:H10" si="0">IF(D5="","","×")</f>
        <v/>
      </c>
      <c r="I5" s="156"/>
      <c r="J5" s="64" t="str">
        <f t="shared" ref="J5:J10" si="1">IF(D5="","","×")</f>
        <v/>
      </c>
      <c r="K5" s="157"/>
      <c r="L5" s="64" t="str">
        <f t="shared" ref="L5:L10" si="2">IF(D5="","","=")</f>
        <v/>
      </c>
      <c r="M5" s="83" t="str">
        <f t="shared" ref="M5:M36" si="3">IF(K5="","",IF(0.0001&gt;ABS(G5*I5*K5/1000),0,ABS(G5*I5*K5/1000)))</f>
        <v/>
      </c>
      <c r="N5" s="68" t="str">
        <f>IF(M5="","",LOOKUP(D5,概要と通り!$G$24:$G$54,概要と通り!$J$24:$J$54))</f>
        <v/>
      </c>
      <c r="O5" s="13" t="str">
        <f>IF(M5="","",M5*N5)</f>
        <v/>
      </c>
      <c r="P5" s="13" t="str">
        <f>IF(M5="","",M5*(N5-$P$63)^2)</f>
        <v/>
      </c>
      <c r="R5" s="70">
        <v>1</v>
      </c>
      <c r="S5" s="70" t="s">
        <v>148</v>
      </c>
      <c r="T5" s="93"/>
      <c r="U5" s="154"/>
      <c r="V5" s="64" t="str">
        <f>IF(U5="","",LOOKUP(U5,概要と通り!$A$24:$A$54,概要と通り!$B$24:$B$54))</f>
        <v/>
      </c>
      <c r="W5" s="154"/>
      <c r="X5" s="155"/>
      <c r="Y5" s="64" t="str">
        <f t="shared" ref="Y5:Y10" si="4">IF(U5="","","×")</f>
        <v/>
      </c>
      <c r="Z5" s="156"/>
      <c r="AA5" s="64" t="str">
        <f t="shared" ref="AA5:AA10" si="5">IF(U5="","","×")</f>
        <v/>
      </c>
      <c r="AB5" s="164"/>
      <c r="AC5" s="64" t="str">
        <f t="shared" ref="AC5:AC10" si="6">IF(U5="","","=")</f>
        <v/>
      </c>
      <c r="AD5" s="83" t="str">
        <f t="shared" ref="AD5:AD36" si="7">IF(AB5="","",IF(0.0001&gt;ABS(X5*Z5*AB5/1000),0,ABS(X5*Z5*AB5/1000)))</f>
        <v/>
      </c>
      <c r="AE5" s="68" t="str">
        <f>IF(AD5="","",LOOKUP(U5,概要と通り!$A$24:$A$54,概要と通り!$D$24:$D$54))</f>
        <v/>
      </c>
      <c r="AF5" s="13" t="str">
        <f t="shared" ref="AF5:AF10" si="8">IF(AD5="","",AD5*AE5)</f>
        <v/>
      </c>
      <c r="AG5" s="13" t="str">
        <f>IF(AD5="","",AD5*(AE5-$AG$63)^2)</f>
        <v/>
      </c>
    </row>
    <row r="6" spans="1:33">
      <c r="A6" s="71"/>
      <c r="B6" s="71"/>
      <c r="C6" s="94"/>
      <c r="D6" s="154"/>
      <c r="E6" s="64" t="str">
        <f>IF(D6="","",LOOKUP(D6,概要と通り!$G$24:$G$54,概要と通り!$H$24:$H$54))</f>
        <v/>
      </c>
      <c r="F6" s="154"/>
      <c r="G6" s="155"/>
      <c r="H6" s="64" t="str">
        <f t="shared" si="0"/>
        <v/>
      </c>
      <c r="I6" s="156"/>
      <c r="J6" s="64" t="str">
        <f t="shared" si="1"/>
        <v/>
      </c>
      <c r="K6" s="157"/>
      <c r="L6" s="64" t="str">
        <f t="shared" si="2"/>
        <v/>
      </c>
      <c r="M6" s="83" t="str">
        <f t="shared" si="3"/>
        <v/>
      </c>
      <c r="N6" s="68" t="str">
        <f>IF(M6="","",LOOKUP(D6,概要と通り!$G$24:$G$54,概要と通り!$J$24:$J$54))</f>
        <v/>
      </c>
      <c r="O6" s="13" t="str">
        <f t="shared" ref="O6:O10" si="9">IF(M6="","",M6*N6)</f>
        <v/>
      </c>
      <c r="P6" s="13" t="str">
        <f t="shared" ref="P6:P36" si="10">IF(M6="","",M6*(N6-$P$63)^2)</f>
        <v/>
      </c>
      <c r="R6" s="71"/>
      <c r="S6" s="71"/>
      <c r="T6" s="94"/>
      <c r="U6" s="154"/>
      <c r="V6" s="64" t="str">
        <f>IF(U6="","",LOOKUP(U6,概要と通り!$A$24:$A$54,概要と通り!$B$24:$B$54))</f>
        <v/>
      </c>
      <c r="W6" s="154"/>
      <c r="X6" s="155"/>
      <c r="Y6" s="64" t="str">
        <f t="shared" si="4"/>
        <v/>
      </c>
      <c r="Z6" s="156"/>
      <c r="AA6" s="64" t="str">
        <f t="shared" si="5"/>
        <v/>
      </c>
      <c r="AB6" s="164"/>
      <c r="AC6" s="64" t="str">
        <f t="shared" si="6"/>
        <v/>
      </c>
      <c r="AD6" s="83" t="str">
        <f t="shared" si="7"/>
        <v/>
      </c>
      <c r="AE6" s="68" t="str">
        <f>IF(AD6="","",LOOKUP(U6,概要と通り!$A$24:$A$54,概要と通り!$D$24:$D$54))</f>
        <v/>
      </c>
      <c r="AF6" s="13" t="str">
        <f t="shared" si="8"/>
        <v/>
      </c>
      <c r="AG6" s="13" t="str">
        <f t="shared" ref="AG6:AG36" si="11">IF(AD6="","",AD6*(AE6-$AG$63)^2)</f>
        <v/>
      </c>
    </row>
    <row r="7" spans="1:33">
      <c r="A7" s="71"/>
      <c r="B7" s="71"/>
      <c r="C7" s="94"/>
      <c r="D7" s="154"/>
      <c r="E7" s="64" t="str">
        <f>IF(D7="","",LOOKUP(D7,概要と通り!$G$24:$G$54,概要と通り!$H$24:$H$54))</f>
        <v/>
      </c>
      <c r="F7" s="154"/>
      <c r="G7" s="155"/>
      <c r="H7" s="64" t="str">
        <f t="shared" si="0"/>
        <v/>
      </c>
      <c r="I7" s="156"/>
      <c r="J7" s="64" t="str">
        <f t="shared" si="1"/>
        <v/>
      </c>
      <c r="K7" s="157"/>
      <c r="L7" s="64" t="str">
        <f t="shared" si="2"/>
        <v/>
      </c>
      <c r="M7" s="83" t="str">
        <f t="shared" si="3"/>
        <v/>
      </c>
      <c r="N7" s="68" t="str">
        <f>IF(M7="","",LOOKUP(D7,概要と通り!$G$24:$G$54,概要と通り!$J$24:$J$54))</f>
        <v/>
      </c>
      <c r="O7" s="13" t="str">
        <f t="shared" si="9"/>
        <v/>
      </c>
      <c r="P7" s="13" t="str">
        <f t="shared" si="10"/>
        <v/>
      </c>
      <c r="R7" s="71"/>
      <c r="S7" s="71"/>
      <c r="T7" s="94"/>
      <c r="U7" s="154"/>
      <c r="V7" s="64" t="str">
        <f>IF(U7="","",LOOKUP(U7,概要と通り!$A$24:$A$54,概要と通り!$B$24:$B$54))</f>
        <v/>
      </c>
      <c r="W7" s="154"/>
      <c r="X7" s="155"/>
      <c r="Y7" s="64" t="str">
        <f t="shared" si="4"/>
        <v/>
      </c>
      <c r="Z7" s="156"/>
      <c r="AA7" s="64" t="str">
        <f t="shared" si="5"/>
        <v/>
      </c>
      <c r="AB7" s="164"/>
      <c r="AC7" s="64" t="str">
        <f t="shared" si="6"/>
        <v/>
      </c>
      <c r="AD7" s="83" t="str">
        <f t="shared" si="7"/>
        <v/>
      </c>
      <c r="AE7" s="68" t="str">
        <f>IF(AD7="","",LOOKUP(U7,概要と通り!$A$24:$A$54,概要と通り!$D$24:$D$54))</f>
        <v/>
      </c>
      <c r="AF7" s="13" t="str">
        <f t="shared" si="8"/>
        <v/>
      </c>
      <c r="AG7" s="13" t="str">
        <f t="shared" si="11"/>
        <v/>
      </c>
    </row>
    <row r="8" spans="1:33">
      <c r="A8" s="71"/>
      <c r="B8" s="71"/>
      <c r="C8" s="94"/>
      <c r="D8" s="154"/>
      <c r="E8" s="64" t="str">
        <f>IF(D8="","",LOOKUP(D8,概要と通り!$G$24:$G$54,概要と通り!$H$24:$H$54))</f>
        <v/>
      </c>
      <c r="F8" s="154"/>
      <c r="G8" s="155"/>
      <c r="H8" s="64" t="str">
        <f t="shared" si="0"/>
        <v/>
      </c>
      <c r="I8" s="156"/>
      <c r="J8" s="64" t="str">
        <f t="shared" si="1"/>
        <v/>
      </c>
      <c r="K8" s="157"/>
      <c r="L8" s="64" t="str">
        <f t="shared" si="2"/>
        <v/>
      </c>
      <c r="M8" s="83" t="str">
        <f t="shared" si="3"/>
        <v/>
      </c>
      <c r="N8" s="68" t="str">
        <f>IF(M8="","",LOOKUP(D8,概要と通り!$G$24:$G$54,概要と通り!$J$24:$J$54))</f>
        <v/>
      </c>
      <c r="O8" s="13" t="str">
        <f t="shared" si="9"/>
        <v/>
      </c>
      <c r="P8" s="13" t="str">
        <f t="shared" si="10"/>
        <v/>
      </c>
      <c r="R8" s="71"/>
      <c r="S8" s="71"/>
      <c r="T8" s="94"/>
      <c r="U8" s="154"/>
      <c r="V8" s="64" t="str">
        <f>IF(U8="","",LOOKUP(U8,概要と通り!$A$24:$A$54,概要と通り!$B$24:$B$54))</f>
        <v/>
      </c>
      <c r="W8" s="154"/>
      <c r="X8" s="155"/>
      <c r="Y8" s="64" t="str">
        <f t="shared" si="4"/>
        <v/>
      </c>
      <c r="Z8" s="156"/>
      <c r="AA8" s="64" t="str">
        <f t="shared" si="5"/>
        <v/>
      </c>
      <c r="AB8" s="164"/>
      <c r="AC8" s="64" t="str">
        <f t="shared" si="6"/>
        <v/>
      </c>
      <c r="AD8" s="83" t="str">
        <f t="shared" si="7"/>
        <v/>
      </c>
      <c r="AE8" s="68" t="str">
        <f>IF(AD8="","",LOOKUP(U8,概要と通り!$A$24:$A$54,概要と通り!$D$24:$D$54))</f>
        <v/>
      </c>
      <c r="AF8" s="13" t="str">
        <f t="shared" si="8"/>
        <v/>
      </c>
      <c r="AG8" s="13" t="str">
        <f t="shared" si="11"/>
        <v/>
      </c>
    </row>
    <row r="9" spans="1:33">
      <c r="A9" s="71"/>
      <c r="B9" s="71"/>
      <c r="C9" s="94"/>
      <c r="D9" s="154"/>
      <c r="E9" s="64" t="str">
        <f>IF(D9="","",LOOKUP(D9,概要と通り!$G$24:$G$54,概要と通り!$H$24:$H$54))</f>
        <v/>
      </c>
      <c r="F9" s="154"/>
      <c r="G9" s="155"/>
      <c r="H9" s="64" t="str">
        <f t="shared" si="0"/>
        <v/>
      </c>
      <c r="I9" s="156"/>
      <c r="J9" s="64" t="str">
        <f t="shared" si="1"/>
        <v/>
      </c>
      <c r="K9" s="157"/>
      <c r="L9" s="64" t="str">
        <f t="shared" si="2"/>
        <v/>
      </c>
      <c r="M9" s="83" t="str">
        <f t="shared" si="3"/>
        <v/>
      </c>
      <c r="N9" s="68" t="str">
        <f>IF(M9="","",LOOKUP(D9,概要と通り!$G$24:$G$54,概要と通り!$J$24:$J$54))</f>
        <v/>
      </c>
      <c r="O9" s="13" t="str">
        <f t="shared" si="9"/>
        <v/>
      </c>
      <c r="P9" s="13" t="str">
        <f t="shared" si="10"/>
        <v/>
      </c>
      <c r="R9" s="71"/>
      <c r="S9" s="71"/>
      <c r="T9" s="94"/>
      <c r="U9" s="154"/>
      <c r="V9" s="64" t="str">
        <f>IF(U9="","",LOOKUP(U9,概要と通り!$A$24:$A$54,概要と通り!$B$24:$B$54))</f>
        <v/>
      </c>
      <c r="W9" s="154"/>
      <c r="X9" s="155"/>
      <c r="Y9" s="64" t="str">
        <f t="shared" si="4"/>
        <v/>
      </c>
      <c r="Z9" s="156"/>
      <c r="AA9" s="64" t="str">
        <f t="shared" si="5"/>
        <v/>
      </c>
      <c r="AB9" s="164"/>
      <c r="AC9" s="64" t="str">
        <f t="shared" si="6"/>
        <v/>
      </c>
      <c r="AD9" s="83" t="str">
        <f t="shared" si="7"/>
        <v/>
      </c>
      <c r="AE9" s="68" t="str">
        <f>IF(AD9="","",LOOKUP(U9,概要と通り!$A$24:$A$54,概要と通り!$D$24:$D$54))</f>
        <v/>
      </c>
      <c r="AF9" s="13" t="str">
        <f t="shared" si="8"/>
        <v/>
      </c>
      <c r="AG9" s="13" t="str">
        <f t="shared" si="11"/>
        <v/>
      </c>
    </row>
    <row r="10" spans="1:33">
      <c r="A10" s="71"/>
      <c r="B10" s="71"/>
      <c r="C10" s="94"/>
      <c r="D10" s="154"/>
      <c r="E10" s="64" t="str">
        <f>IF(D10="","",LOOKUP(D10,概要と通り!$G$24:$G$54,概要と通り!$H$24:$H$54))</f>
        <v/>
      </c>
      <c r="F10" s="154"/>
      <c r="G10" s="155"/>
      <c r="H10" s="64" t="str">
        <f t="shared" si="0"/>
        <v/>
      </c>
      <c r="I10" s="156"/>
      <c r="J10" s="64" t="str">
        <f t="shared" si="1"/>
        <v/>
      </c>
      <c r="K10" s="157"/>
      <c r="L10" s="64" t="str">
        <f t="shared" si="2"/>
        <v/>
      </c>
      <c r="M10" s="83" t="str">
        <f t="shared" si="3"/>
        <v/>
      </c>
      <c r="N10" s="68" t="str">
        <f>IF(M10="","",LOOKUP(D10,概要と通り!$G$24:$G$54,概要と通り!$J$24:$J$54))</f>
        <v/>
      </c>
      <c r="O10" s="13" t="str">
        <f t="shared" si="9"/>
        <v/>
      </c>
      <c r="P10" s="13" t="str">
        <f t="shared" si="10"/>
        <v/>
      </c>
      <c r="R10" s="71"/>
      <c r="S10" s="71"/>
      <c r="T10" s="94"/>
      <c r="U10" s="154"/>
      <c r="V10" s="64" t="str">
        <f>IF(U10="","",LOOKUP(U10,概要と通り!$A$24:$A$54,概要と通り!$B$24:$B$54))</f>
        <v/>
      </c>
      <c r="W10" s="154"/>
      <c r="X10" s="155"/>
      <c r="Y10" s="64" t="str">
        <f t="shared" si="4"/>
        <v/>
      </c>
      <c r="Z10" s="156"/>
      <c r="AA10" s="64" t="str">
        <f t="shared" si="5"/>
        <v/>
      </c>
      <c r="AB10" s="164"/>
      <c r="AC10" s="64" t="str">
        <f t="shared" si="6"/>
        <v/>
      </c>
      <c r="AD10" s="83" t="str">
        <f t="shared" si="7"/>
        <v/>
      </c>
      <c r="AE10" s="68" t="str">
        <f>IF(AD10="","",LOOKUP(U10,概要と通り!$A$24:$A$54,概要と通り!$D$24:$D$54))</f>
        <v/>
      </c>
      <c r="AF10" s="13" t="str">
        <f t="shared" si="8"/>
        <v/>
      </c>
      <c r="AG10" s="13" t="str">
        <f t="shared" si="11"/>
        <v/>
      </c>
    </row>
    <row r="11" spans="1:33">
      <c r="A11" s="71"/>
      <c r="B11" s="71"/>
      <c r="C11" s="94"/>
      <c r="D11" s="154"/>
      <c r="E11" s="64" t="str">
        <f>IF(D11="","",LOOKUP(D11,概要と通り!$G$24:$G$54,概要と通り!$H$24:$H$54))</f>
        <v/>
      </c>
      <c r="F11" s="154"/>
      <c r="G11" s="155"/>
      <c r="H11" s="64" t="str">
        <f t="shared" ref="H11:H59" si="12">IF(D11="","","×")</f>
        <v/>
      </c>
      <c r="I11" s="156"/>
      <c r="J11" s="64" t="str">
        <f t="shared" ref="J11:J59" si="13">IF(D11="","","×")</f>
        <v/>
      </c>
      <c r="K11" s="157"/>
      <c r="L11" s="64" t="str">
        <f t="shared" ref="L11:L59" si="14">IF(D11="","","=")</f>
        <v/>
      </c>
      <c r="M11" s="83" t="str">
        <f t="shared" si="3"/>
        <v/>
      </c>
      <c r="N11" s="68" t="str">
        <f>IF(M11="","",LOOKUP(D11,概要と通り!$G$24:$G$54,概要と通り!$J$24:$J$54))</f>
        <v/>
      </c>
      <c r="O11" s="13" t="str">
        <f t="shared" ref="O11:O59" si="15">IF(M11="","",M11*N11)</f>
        <v/>
      </c>
      <c r="P11" s="13" t="str">
        <f t="shared" si="10"/>
        <v/>
      </c>
      <c r="R11" s="71"/>
      <c r="S11" s="71"/>
      <c r="T11" s="94"/>
      <c r="U11" s="154"/>
      <c r="V11" s="64" t="str">
        <f>IF(U11="","",LOOKUP(U11,概要と通り!$A$24:$A$54,概要と通り!$B$24:$B$54))</f>
        <v/>
      </c>
      <c r="W11" s="154"/>
      <c r="X11" s="155"/>
      <c r="Y11" s="64" t="str">
        <f t="shared" ref="Y11:Y59" si="16">IF(U11="","","×")</f>
        <v/>
      </c>
      <c r="Z11" s="156"/>
      <c r="AA11" s="64" t="str">
        <f t="shared" ref="AA11:AA59" si="17">IF(U11="","","×")</f>
        <v/>
      </c>
      <c r="AB11" s="164"/>
      <c r="AC11" s="64" t="str">
        <f t="shared" ref="AC11:AC59" si="18">IF(U11="","","=")</f>
        <v/>
      </c>
      <c r="AD11" s="83" t="str">
        <f t="shared" si="7"/>
        <v/>
      </c>
      <c r="AE11" s="68" t="str">
        <f>IF(AD11="","",LOOKUP(U11,概要と通り!$A$24:$A$54,概要と通り!$D$24:$D$54))</f>
        <v/>
      </c>
      <c r="AF11" s="13" t="str">
        <f t="shared" ref="AF11:AF59" si="19">IF(AD11="","",AD11*AE11)</f>
        <v/>
      </c>
      <c r="AG11" s="13" t="str">
        <f t="shared" si="11"/>
        <v/>
      </c>
    </row>
    <row r="12" spans="1:33">
      <c r="A12" s="71"/>
      <c r="B12" s="71"/>
      <c r="C12" s="94"/>
      <c r="D12" s="154"/>
      <c r="E12" s="64" t="str">
        <f>IF(D12="","",LOOKUP(D12,概要と通り!$G$24:$G$54,概要と通り!$H$24:$H$54))</f>
        <v/>
      </c>
      <c r="F12" s="154"/>
      <c r="G12" s="155"/>
      <c r="H12" s="64" t="str">
        <f t="shared" si="12"/>
        <v/>
      </c>
      <c r="I12" s="156"/>
      <c r="J12" s="64" t="str">
        <f t="shared" si="13"/>
        <v/>
      </c>
      <c r="K12" s="157"/>
      <c r="L12" s="64" t="str">
        <f t="shared" si="14"/>
        <v/>
      </c>
      <c r="M12" s="83" t="str">
        <f t="shared" si="3"/>
        <v/>
      </c>
      <c r="N12" s="68" t="str">
        <f>IF(M12="","",LOOKUP(D12,概要と通り!$G$24:$G$54,概要と通り!$J$24:$J$54))</f>
        <v/>
      </c>
      <c r="O12" s="13" t="str">
        <f t="shared" si="15"/>
        <v/>
      </c>
      <c r="P12" s="13" t="str">
        <f t="shared" si="10"/>
        <v/>
      </c>
      <c r="R12" s="71"/>
      <c r="S12" s="71"/>
      <c r="T12" s="94"/>
      <c r="U12" s="154"/>
      <c r="V12" s="64" t="str">
        <f>IF(U12="","",LOOKUP(U12,概要と通り!$A$24:$A$54,概要と通り!$B$24:$B$54))</f>
        <v/>
      </c>
      <c r="W12" s="154"/>
      <c r="X12" s="155"/>
      <c r="Y12" s="64" t="str">
        <f t="shared" si="16"/>
        <v/>
      </c>
      <c r="Z12" s="156"/>
      <c r="AA12" s="64" t="str">
        <f t="shared" si="17"/>
        <v/>
      </c>
      <c r="AB12" s="164"/>
      <c r="AC12" s="64" t="str">
        <f t="shared" si="18"/>
        <v/>
      </c>
      <c r="AD12" s="83" t="str">
        <f t="shared" si="7"/>
        <v/>
      </c>
      <c r="AE12" s="68" t="str">
        <f>IF(AD12="","",LOOKUP(U12,概要と通り!$A$24:$A$54,概要と通り!$D$24:$D$54))</f>
        <v/>
      </c>
      <c r="AF12" s="13" t="str">
        <f t="shared" si="19"/>
        <v/>
      </c>
      <c r="AG12" s="13" t="str">
        <f t="shared" si="11"/>
        <v/>
      </c>
    </row>
    <row r="13" spans="1:33">
      <c r="A13" s="71"/>
      <c r="B13" s="71"/>
      <c r="C13" s="94"/>
      <c r="D13" s="154"/>
      <c r="E13" s="64" t="str">
        <f>IF(D13="","",LOOKUP(D13,概要と通り!$G$24:$G$54,概要と通り!$H$24:$H$54))</f>
        <v/>
      </c>
      <c r="F13" s="154"/>
      <c r="G13" s="155"/>
      <c r="H13" s="64" t="str">
        <f t="shared" si="12"/>
        <v/>
      </c>
      <c r="I13" s="156"/>
      <c r="J13" s="64" t="str">
        <f t="shared" si="13"/>
        <v/>
      </c>
      <c r="K13" s="157"/>
      <c r="L13" s="64" t="str">
        <f t="shared" si="14"/>
        <v/>
      </c>
      <c r="M13" s="83" t="str">
        <f t="shared" si="3"/>
        <v/>
      </c>
      <c r="N13" s="68" t="str">
        <f>IF(M13="","",LOOKUP(D13,概要と通り!$G$24:$G$54,概要と通り!$J$24:$J$54))</f>
        <v/>
      </c>
      <c r="O13" s="13" t="str">
        <f t="shared" si="15"/>
        <v/>
      </c>
      <c r="P13" s="13" t="str">
        <f t="shared" si="10"/>
        <v/>
      </c>
      <c r="R13" s="71"/>
      <c r="S13" s="71"/>
      <c r="T13" s="94"/>
      <c r="U13" s="154"/>
      <c r="V13" s="64" t="str">
        <f>IF(U13="","",LOOKUP(U13,概要と通り!$A$24:$A$54,概要と通り!$B$24:$B$54))</f>
        <v/>
      </c>
      <c r="W13" s="154"/>
      <c r="X13" s="155"/>
      <c r="Y13" s="64" t="str">
        <f t="shared" si="16"/>
        <v/>
      </c>
      <c r="Z13" s="156"/>
      <c r="AA13" s="64" t="str">
        <f t="shared" si="17"/>
        <v/>
      </c>
      <c r="AB13" s="164"/>
      <c r="AC13" s="64" t="str">
        <f t="shared" si="18"/>
        <v/>
      </c>
      <c r="AD13" s="83" t="str">
        <f t="shared" si="7"/>
        <v/>
      </c>
      <c r="AE13" s="68" t="str">
        <f>IF(AD13="","",LOOKUP(U13,概要と通り!$A$24:$A$54,概要と通り!$D$24:$D$54))</f>
        <v/>
      </c>
      <c r="AF13" s="13" t="str">
        <f t="shared" si="19"/>
        <v/>
      </c>
      <c r="AG13" s="13" t="str">
        <f t="shared" si="11"/>
        <v/>
      </c>
    </row>
    <row r="14" spans="1:33">
      <c r="A14" s="71"/>
      <c r="B14" s="71"/>
      <c r="C14" s="94"/>
      <c r="D14" s="154"/>
      <c r="E14" s="64" t="str">
        <f>IF(D14="","",LOOKUP(D14,概要と通り!$G$24:$G$54,概要と通り!$H$24:$H$54))</f>
        <v/>
      </c>
      <c r="F14" s="154"/>
      <c r="G14" s="155"/>
      <c r="H14" s="64" t="str">
        <f t="shared" si="12"/>
        <v/>
      </c>
      <c r="I14" s="156"/>
      <c r="J14" s="64" t="str">
        <f t="shared" si="13"/>
        <v/>
      </c>
      <c r="K14" s="157"/>
      <c r="L14" s="64" t="str">
        <f t="shared" si="14"/>
        <v/>
      </c>
      <c r="M14" s="83" t="str">
        <f t="shared" si="3"/>
        <v/>
      </c>
      <c r="N14" s="68" t="str">
        <f>IF(M14="","",LOOKUP(D14,概要と通り!$G$24:$G$54,概要と通り!$J$24:$J$54))</f>
        <v/>
      </c>
      <c r="O14" s="13" t="str">
        <f t="shared" si="15"/>
        <v/>
      </c>
      <c r="P14" s="13" t="str">
        <f t="shared" si="10"/>
        <v/>
      </c>
      <c r="R14" s="71"/>
      <c r="S14" s="71"/>
      <c r="T14" s="94"/>
      <c r="U14" s="154"/>
      <c r="V14" s="64" t="str">
        <f>IF(U14="","",LOOKUP(U14,概要と通り!$A$24:$A$54,概要と通り!$B$24:$B$54))</f>
        <v/>
      </c>
      <c r="W14" s="154"/>
      <c r="X14" s="155"/>
      <c r="Y14" s="64" t="str">
        <f t="shared" si="16"/>
        <v/>
      </c>
      <c r="Z14" s="156"/>
      <c r="AA14" s="64" t="str">
        <f t="shared" si="17"/>
        <v/>
      </c>
      <c r="AB14" s="164"/>
      <c r="AC14" s="64" t="str">
        <f t="shared" si="18"/>
        <v/>
      </c>
      <c r="AD14" s="83" t="str">
        <f t="shared" si="7"/>
        <v/>
      </c>
      <c r="AE14" s="68" t="str">
        <f>IF(AD14="","",LOOKUP(U14,概要と通り!$A$24:$A$54,概要と通り!$D$24:$D$54))</f>
        <v/>
      </c>
      <c r="AF14" s="13" t="str">
        <f t="shared" si="19"/>
        <v/>
      </c>
      <c r="AG14" s="13" t="str">
        <f t="shared" si="11"/>
        <v/>
      </c>
    </row>
    <row r="15" spans="1:33">
      <c r="A15" s="71"/>
      <c r="B15" s="71"/>
      <c r="C15" s="94"/>
      <c r="D15" s="154"/>
      <c r="E15" s="64" t="str">
        <f>IF(D15="","",LOOKUP(D15,概要と通り!$G$24:$G$54,概要と通り!$H$24:$H$54))</f>
        <v/>
      </c>
      <c r="F15" s="154"/>
      <c r="G15" s="155"/>
      <c r="H15" s="64" t="str">
        <f t="shared" si="12"/>
        <v/>
      </c>
      <c r="I15" s="156"/>
      <c r="J15" s="64" t="str">
        <f t="shared" si="13"/>
        <v/>
      </c>
      <c r="K15" s="157"/>
      <c r="L15" s="64" t="str">
        <f t="shared" si="14"/>
        <v/>
      </c>
      <c r="M15" s="83" t="str">
        <f t="shared" si="3"/>
        <v/>
      </c>
      <c r="N15" s="68" t="str">
        <f>IF(M15="","",LOOKUP(D15,概要と通り!$G$24:$G$54,概要と通り!$J$24:$J$54))</f>
        <v/>
      </c>
      <c r="O15" s="13" t="str">
        <f t="shared" si="15"/>
        <v/>
      </c>
      <c r="P15" s="13" t="str">
        <f t="shared" si="10"/>
        <v/>
      </c>
      <c r="R15" s="71"/>
      <c r="S15" s="71"/>
      <c r="T15" s="94"/>
      <c r="U15" s="154"/>
      <c r="V15" s="64" t="str">
        <f>IF(U15="","",LOOKUP(U15,概要と通り!$A$24:$A$54,概要と通り!$B$24:$B$54))</f>
        <v/>
      </c>
      <c r="W15" s="154"/>
      <c r="X15" s="155"/>
      <c r="Y15" s="64" t="str">
        <f t="shared" ref="Y15:Y32" si="20">IF(U15="","","×")</f>
        <v/>
      </c>
      <c r="Z15" s="156"/>
      <c r="AA15" s="64" t="str">
        <f t="shared" ref="AA15:AA32" si="21">IF(U15="","","×")</f>
        <v/>
      </c>
      <c r="AB15" s="164"/>
      <c r="AC15" s="64" t="str">
        <f t="shared" ref="AC15:AC32" si="22">IF(U15="","","=")</f>
        <v/>
      </c>
      <c r="AD15" s="83" t="str">
        <f t="shared" si="7"/>
        <v/>
      </c>
      <c r="AE15" s="68" t="str">
        <f>IF(AD15="","",LOOKUP(U15,概要と通り!$A$24:$A$54,概要と通り!$D$24:$D$54))</f>
        <v/>
      </c>
      <c r="AF15" s="13" t="str">
        <f t="shared" ref="AF15:AF32" si="23">IF(AD15="","",AD15*AE15)</f>
        <v/>
      </c>
      <c r="AG15" s="13" t="str">
        <f t="shared" ref="AG15:AG32" si="24">IF(AD15="","",AD15*(AE15-$AG$63)^2)</f>
        <v/>
      </c>
    </row>
    <row r="16" spans="1:33">
      <c r="A16" s="71"/>
      <c r="B16" s="71"/>
      <c r="C16" s="94"/>
      <c r="D16" s="154"/>
      <c r="E16" s="64" t="str">
        <f>IF(D16="","",LOOKUP(D16,概要と通り!$G$24:$G$54,概要と通り!$H$24:$H$54))</f>
        <v/>
      </c>
      <c r="F16" s="154"/>
      <c r="G16" s="155"/>
      <c r="H16" s="64" t="str">
        <f t="shared" si="12"/>
        <v/>
      </c>
      <c r="I16" s="156"/>
      <c r="J16" s="64" t="str">
        <f t="shared" si="13"/>
        <v/>
      </c>
      <c r="K16" s="157"/>
      <c r="L16" s="64" t="str">
        <f t="shared" si="14"/>
        <v/>
      </c>
      <c r="M16" s="83" t="str">
        <f t="shared" si="3"/>
        <v/>
      </c>
      <c r="N16" s="68" t="str">
        <f>IF(M16="","",LOOKUP(D16,概要と通り!$G$24:$G$54,概要と通り!$J$24:$J$54))</f>
        <v/>
      </c>
      <c r="O16" s="13" t="str">
        <f t="shared" si="15"/>
        <v/>
      </c>
      <c r="P16" s="13" t="str">
        <f t="shared" si="10"/>
        <v/>
      </c>
      <c r="R16" s="71"/>
      <c r="S16" s="71"/>
      <c r="T16" s="94"/>
      <c r="U16" s="154"/>
      <c r="V16" s="64" t="str">
        <f>IF(U16="","",LOOKUP(U16,概要と通り!$A$24:$A$54,概要と通り!$B$24:$B$54))</f>
        <v/>
      </c>
      <c r="W16" s="154"/>
      <c r="X16" s="155"/>
      <c r="Y16" s="64" t="str">
        <f t="shared" si="20"/>
        <v/>
      </c>
      <c r="Z16" s="156"/>
      <c r="AA16" s="64" t="str">
        <f t="shared" si="21"/>
        <v/>
      </c>
      <c r="AB16" s="164"/>
      <c r="AC16" s="64" t="str">
        <f t="shared" si="22"/>
        <v/>
      </c>
      <c r="AD16" s="83" t="str">
        <f t="shared" si="7"/>
        <v/>
      </c>
      <c r="AE16" s="68" t="str">
        <f>IF(AD16="","",LOOKUP(U16,概要と通り!$A$24:$A$54,概要と通り!$D$24:$D$54))</f>
        <v/>
      </c>
      <c r="AF16" s="13" t="str">
        <f t="shared" si="23"/>
        <v/>
      </c>
      <c r="AG16" s="13" t="str">
        <f t="shared" si="24"/>
        <v/>
      </c>
    </row>
    <row r="17" spans="1:33">
      <c r="A17" s="71"/>
      <c r="B17" s="71"/>
      <c r="C17" s="94"/>
      <c r="D17" s="154"/>
      <c r="E17" s="64" t="str">
        <f>IF(D17="","",LOOKUP(D17,概要と通り!$G$24:$G$54,概要と通り!$H$24:$H$54))</f>
        <v/>
      </c>
      <c r="F17" s="154"/>
      <c r="G17" s="155"/>
      <c r="H17" s="64" t="str">
        <f t="shared" si="12"/>
        <v/>
      </c>
      <c r="I17" s="156"/>
      <c r="J17" s="64" t="str">
        <f t="shared" si="13"/>
        <v/>
      </c>
      <c r="K17" s="157"/>
      <c r="L17" s="64" t="str">
        <f t="shared" si="14"/>
        <v/>
      </c>
      <c r="M17" s="83" t="str">
        <f t="shared" si="3"/>
        <v/>
      </c>
      <c r="N17" s="68" t="str">
        <f>IF(M17="","",LOOKUP(D17,概要と通り!$G$24:$G$54,概要と通り!$J$24:$J$54))</f>
        <v/>
      </c>
      <c r="O17" s="13" t="str">
        <f t="shared" si="15"/>
        <v/>
      </c>
      <c r="P17" s="13" t="str">
        <f>IF(M17="","",M17*(N17-$P$63)^2)</f>
        <v/>
      </c>
      <c r="R17" s="71"/>
      <c r="S17" s="71"/>
      <c r="T17" s="94"/>
      <c r="U17" s="154"/>
      <c r="V17" s="64" t="str">
        <f>IF(U17="","",LOOKUP(U17,概要と通り!$A$24:$A$54,概要と通り!$B$24:$B$54))</f>
        <v/>
      </c>
      <c r="W17" s="154"/>
      <c r="X17" s="155"/>
      <c r="Y17" s="64" t="str">
        <f t="shared" si="20"/>
        <v/>
      </c>
      <c r="Z17" s="156"/>
      <c r="AA17" s="64" t="str">
        <f t="shared" si="21"/>
        <v/>
      </c>
      <c r="AB17" s="164"/>
      <c r="AC17" s="64" t="str">
        <f t="shared" si="22"/>
        <v/>
      </c>
      <c r="AD17" s="83" t="str">
        <f t="shared" si="7"/>
        <v/>
      </c>
      <c r="AE17" s="68" t="str">
        <f>IF(AD17="","",LOOKUP(U17,概要と通り!$A$24:$A$54,概要と通り!$D$24:$D$54))</f>
        <v/>
      </c>
      <c r="AF17" s="13" t="str">
        <f t="shared" si="23"/>
        <v/>
      </c>
      <c r="AG17" s="13" t="str">
        <f t="shared" si="24"/>
        <v/>
      </c>
    </row>
    <row r="18" spans="1:33">
      <c r="A18" s="71"/>
      <c r="B18" s="71"/>
      <c r="C18" s="94"/>
      <c r="D18" s="154"/>
      <c r="E18" s="64" t="str">
        <f>IF(D18="","",LOOKUP(D18,概要と通り!$G$24:$G$54,概要と通り!$H$24:$H$54))</f>
        <v/>
      </c>
      <c r="F18" s="154"/>
      <c r="G18" s="155"/>
      <c r="H18" s="64" t="str">
        <f t="shared" si="12"/>
        <v/>
      </c>
      <c r="I18" s="156"/>
      <c r="J18" s="64" t="str">
        <f t="shared" si="13"/>
        <v/>
      </c>
      <c r="K18" s="157"/>
      <c r="L18" s="64" t="str">
        <f t="shared" si="14"/>
        <v/>
      </c>
      <c r="M18" s="83" t="str">
        <f t="shared" si="3"/>
        <v/>
      </c>
      <c r="N18" s="68" t="str">
        <f>IF(M18="","",LOOKUP(D18,概要と通り!$G$24:$G$54,概要と通り!$J$24:$J$54))</f>
        <v/>
      </c>
      <c r="O18" s="13" t="str">
        <f t="shared" si="15"/>
        <v/>
      </c>
      <c r="P18" s="13" t="str">
        <f t="shared" si="10"/>
        <v/>
      </c>
      <c r="R18" s="71"/>
      <c r="S18" s="71"/>
      <c r="T18" s="94"/>
      <c r="U18" s="154"/>
      <c r="V18" s="64" t="str">
        <f>IF(U18="","",LOOKUP(U18,概要と通り!$A$24:$A$54,概要と通り!$B$24:$B$54))</f>
        <v/>
      </c>
      <c r="W18" s="154"/>
      <c r="X18" s="155"/>
      <c r="Y18" s="64" t="str">
        <f t="shared" si="20"/>
        <v/>
      </c>
      <c r="Z18" s="156"/>
      <c r="AA18" s="64" t="str">
        <f t="shared" si="21"/>
        <v/>
      </c>
      <c r="AB18" s="164"/>
      <c r="AC18" s="64" t="str">
        <f t="shared" si="22"/>
        <v/>
      </c>
      <c r="AD18" s="83" t="str">
        <f t="shared" si="7"/>
        <v/>
      </c>
      <c r="AE18" s="68" t="str">
        <f>IF(AD18="","",LOOKUP(U18,概要と通り!$A$24:$A$54,概要と通り!$D$24:$D$54))</f>
        <v/>
      </c>
      <c r="AF18" s="13" t="str">
        <f t="shared" si="23"/>
        <v/>
      </c>
      <c r="AG18" s="13" t="str">
        <f t="shared" si="24"/>
        <v/>
      </c>
    </row>
    <row r="19" spans="1:33">
      <c r="A19" s="71"/>
      <c r="B19" s="71"/>
      <c r="C19" s="94"/>
      <c r="D19" s="154"/>
      <c r="E19" s="64" t="str">
        <f>IF(D19="","",LOOKUP(D19,概要と通り!$G$24:$G$54,概要と通り!$H$24:$H$54))</f>
        <v/>
      </c>
      <c r="F19" s="154"/>
      <c r="G19" s="155"/>
      <c r="H19" s="64" t="str">
        <f t="shared" si="12"/>
        <v/>
      </c>
      <c r="I19" s="156"/>
      <c r="J19" s="64" t="str">
        <f t="shared" si="13"/>
        <v/>
      </c>
      <c r="K19" s="157"/>
      <c r="L19" s="64" t="str">
        <f t="shared" si="14"/>
        <v/>
      </c>
      <c r="M19" s="83" t="str">
        <f t="shared" si="3"/>
        <v/>
      </c>
      <c r="N19" s="68" t="str">
        <f>IF(M19="","",LOOKUP(D19,概要と通り!$G$24:$G$54,概要と通り!$J$24:$J$54))</f>
        <v/>
      </c>
      <c r="O19" s="13" t="str">
        <f t="shared" si="15"/>
        <v/>
      </c>
      <c r="P19" s="13" t="str">
        <f t="shared" si="10"/>
        <v/>
      </c>
      <c r="R19" s="71"/>
      <c r="S19" s="71"/>
      <c r="T19" s="94"/>
      <c r="U19" s="154"/>
      <c r="V19" s="64" t="str">
        <f>IF(U19="","",LOOKUP(U19,概要と通り!$A$24:$A$54,概要と通り!$B$24:$B$54))</f>
        <v/>
      </c>
      <c r="W19" s="154"/>
      <c r="X19" s="155"/>
      <c r="Y19" s="64" t="str">
        <f t="shared" si="20"/>
        <v/>
      </c>
      <c r="Z19" s="156"/>
      <c r="AA19" s="64" t="str">
        <f t="shared" si="21"/>
        <v/>
      </c>
      <c r="AB19" s="164"/>
      <c r="AC19" s="64" t="str">
        <f t="shared" si="22"/>
        <v/>
      </c>
      <c r="AD19" s="83" t="str">
        <f t="shared" si="7"/>
        <v/>
      </c>
      <c r="AE19" s="68" t="str">
        <f>IF(AD19="","",LOOKUP(U19,概要と通り!$A$24:$A$54,概要と通り!$D$24:$D$54))</f>
        <v/>
      </c>
      <c r="AF19" s="13" t="str">
        <f t="shared" si="23"/>
        <v/>
      </c>
      <c r="AG19" s="13" t="str">
        <f t="shared" si="24"/>
        <v/>
      </c>
    </row>
    <row r="20" spans="1:33">
      <c r="A20" s="71"/>
      <c r="B20" s="71"/>
      <c r="C20" s="94"/>
      <c r="D20" s="154"/>
      <c r="E20" s="64" t="str">
        <f>IF(D20="","",LOOKUP(D20,概要と通り!$G$24:$G$54,概要と通り!$H$24:$H$54))</f>
        <v/>
      </c>
      <c r="F20" s="154"/>
      <c r="G20" s="155"/>
      <c r="H20" s="64" t="str">
        <f t="shared" si="12"/>
        <v/>
      </c>
      <c r="I20" s="156"/>
      <c r="J20" s="64" t="str">
        <f t="shared" si="13"/>
        <v/>
      </c>
      <c r="K20" s="157"/>
      <c r="L20" s="64" t="str">
        <f t="shared" si="14"/>
        <v/>
      </c>
      <c r="M20" s="83" t="str">
        <f t="shared" si="3"/>
        <v/>
      </c>
      <c r="N20" s="68" t="str">
        <f>IF(M20="","",LOOKUP(D20,概要と通り!$G$24:$G$54,概要と通り!$J$24:$J$54))</f>
        <v/>
      </c>
      <c r="O20" s="13" t="str">
        <f t="shared" si="15"/>
        <v/>
      </c>
      <c r="P20" s="13" t="str">
        <f t="shared" si="10"/>
        <v/>
      </c>
      <c r="R20" s="71"/>
      <c r="S20" s="71"/>
      <c r="T20" s="94"/>
      <c r="U20" s="154"/>
      <c r="V20" s="64" t="str">
        <f>IF(U20="","",LOOKUP(U20,概要と通り!$A$24:$A$54,概要と通り!$B$24:$B$54))</f>
        <v/>
      </c>
      <c r="W20" s="154"/>
      <c r="X20" s="155"/>
      <c r="Y20" s="64" t="str">
        <f t="shared" si="20"/>
        <v/>
      </c>
      <c r="Z20" s="156"/>
      <c r="AA20" s="64" t="str">
        <f t="shared" si="21"/>
        <v/>
      </c>
      <c r="AB20" s="164"/>
      <c r="AC20" s="64" t="str">
        <f t="shared" si="22"/>
        <v/>
      </c>
      <c r="AD20" s="83" t="str">
        <f t="shared" si="7"/>
        <v/>
      </c>
      <c r="AE20" s="68" t="str">
        <f>IF(AD20="","",LOOKUP(U20,概要と通り!$A$24:$A$54,概要と通り!$D$24:$D$54))</f>
        <v/>
      </c>
      <c r="AF20" s="13" t="str">
        <f t="shared" si="23"/>
        <v/>
      </c>
      <c r="AG20" s="13" t="str">
        <f t="shared" si="24"/>
        <v/>
      </c>
    </row>
    <row r="21" spans="1:33">
      <c r="A21" s="71"/>
      <c r="B21" s="71"/>
      <c r="C21" s="94"/>
      <c r="D21" s="154"/>
      <c r="E21" s="64" t="str">
        <f>IF(D21="","",LOOKUP(D21,概要と通り!$G$24:$G$54,概要と通り!$H$24:$H$54))</f>
        <v/>
      </c>
      <c r="F21" s="154"/>
      <c r="G21" s="155"/>
      <c r="H21" s="64" t="str">
        <f t="shared" si="12"/>
        <v/>
      </c>
      <c r="I21" s="156"/>
      <c r="J21" s="64" t="str">
        <f t="shared" si="13"/>
        <v/>
      </c>
      <c r="K21" s="157"/>
      <c r="L21" s="64" t="str">
        <f t="shared" si="14"/>
        <v/>
      </c>
      <c r="M21" s="83" t="str">
        <f t="shared" si="3"/>
        <v/>
      </c>
      <c r="N21" s="68" t="str">
        <f>IF(M21="","",LOOKUP(D21,概要と通り!$G$24:$G$54,概要と通り!$J$24:$J$54))</f>
        <v/>
      </c>
      <c r="O21" s="13" t="str">
        <f t="shared" si="15"/>
        <v/>
      </c>
      <c r="P21" s="13" t="str">
        <f t="shared" si="10"/>
        <v/>
      </c>
      <c r="R21" s="71"/>
      <c r="S21" s="71"/>
      <c r="T21" s="94"/>
      <c r="U21" s="154"/>
      <c r="V21" s="64" t="str">
        <f>IF(U21="","",LOOKUP(U21,概要と通り!$A$24:$A$54,概要と通り!$B$24:$B$54))</f>
        <v/>
      </c>
      <c r="W21" s="154"/>
      <c r="X21" s="155"/>
      <c r="Y21" s="64" t="str">
        <f t="shared" si="20"/>
        <v/>
      </c>
      <c r="Z21" s="156"/>
      <c r="AA21" s="64" t="str">
        <f t="shared" si="21"/>
        <v/>
      </c>
      <c r="AB21" s="164"/>
      <c r="AC21" s="64" t="str">
        <f t="shared" si="22"/>
        <v/>
      </c>
      <c r="AD21" s="83" t="str">
        <f t="shared" si="7"/>
        <v/>
      </c>
      <c r="AE21" s="68" t="str">
        <f>IF(AD21="","",LOOKUP(U21,概要と通り!$A$24:$A$54,概要と通り!$D$24:$D$54))</f>
        <v/>
      </c>
      <c r="AF21" s="13" t="str">
        <f t="shared" si="23"/>
        <v/>
      </c>
      <c r="AG21" s="13" t="str">
        <f t="shared" si="24"/>
        <v/>
      </c>
    </row>
    <row r="22" spans="1:33">
      <c r="A22" s="71"/>
      <c r="B22" s="71"/>
      <c r="C22" s="94"/>
      <c r="D22" s="154"/>
      <c r="E22" s="64" t="str">
        <f>IF(D22="","",LOOKUP(D22,概要と通り!$G$24:$G$54,概要と通り!$H$24:$H$54))</f>
        <v/>
      </c>
      <c r="F22" s="154"/>
      <c r="G22" s="155"/>
      <c r="H22" s="64" t="str">
        <f t="shared" si="12"/>
        <v/>
      </c>
      <c r="I22" s="156"/>
      <c r="J22" s="64" t="str">
        <f t="shared" si="13"/>
        <v/>
      </c>
      <c r="K22" s="157"/>
      <c r="L22" s="64" t="str">
        <f t="shared" si="14"/>
        <v/>
      </c>
      <c r="M22" s="83" t="str">
        <f t="shared" si="3"/>
        <v/>
      </c>
      <c r="N22" s="68" t="str">
        <f>IF(M22="","",LOOKUP(D22,概要と通り!$G$24:$G$54,概要と通り!$J$24:$J$54))</f>
        <v/>
      </c>
      <c r="O22" s="13" t="str">
        <f t="shared" si="15"/>
        <v/>
      </c>
      <c r="P22" s="13" t="str">
        <f t="shared" si="10"/>
        <v/>
      </c>
      <c r="R22" s="71"/>
      <c r="S22" s="71"/>
      <c r="T22" s="94"/>
      <c r="U22" s="154"/>
      <c r="V22" s="64" t="str">
        <f>IF(U22="","",LOOKUP(U22,概要と通り!$A$24:$A$54,概要と通り!$B$24:$B$54))</f>
        <v/>
      </c>
      <c r="W22" s="154"/>
      <c r="X22" s="155"/>
      <c r="Y22" s="64" t="str">
        <f t="shared" ref="Y22:Y25" si="25">IF(U22="","","×")</f>
        <v/>
      </c>
      <c r="Z22" s="156"/>
      <c r="AA22" s="64" t="str">
        <f t="shared" ref="AA22:AA25" si="26">IF(U22="","","×")</f>
        <v/>
      </c>
      <c r="AB22" s="164"/>
      <c r="AC22" s="64" t="str">
        <f t="shared" ref="AC22:AC25" si="27">IF(U22="","","=")</f>
        <v/>
      </c>
      <c r="AD22" s="83" t="str">
        <f t="shared" si="7"/>
        <v/>
      </c>
      <c r="AE22" s="68" t="str">
        <f>IF(AD22="","",LOOKUP(U22,概要と通り!$A$24:$A$54,概要と通り!$D$24:$D$54))</f>
        <v/>
      </c>
      <c r="AF22" s="13" t="str">
        <f t="shared" ref="AF22:AF25" si="28">IF(AD22="","",AD22*AE22)</f>
        <v/>
      </c>
      <c r="AG22" s="13" t="str">
        <f t="shared" ref="AG22:AG25" si="29">IF(AD22="","",AD22*(AE22-$AG$63)^2)</f>
        <v/>
      </c>
    </row>
    <row r="23" spans="1:33">
      <c r="A23" s="71"/>
      <c r="B23" s="71"/>
      <c r="C23" s="94"/>
      <c r="D23" s="154"/>
      <c r="E23" s="64" t="str">
        <f>IF(D23="","",LOOKUP(D23,概要と通り!$G$24:$G$54,概要と通り!$H$24:$H$54))</f>
        <v/>
      </c>
      <c r="F23" s="154"/>
      <c r="G23" s="155"/>
      <c r="H23" s="64" t="str">
        <f t="shared" si="12"/>
        <v/>
      </c>
      <c r="I23" s="156"/>
      <c r="J23" s="64" t="str">
        <f t="shared" si="13"/>
        <v/>
      </c>
      <c r="K23" s="157"/>
      <c r="L23" s="64" t="str">
        <f t="shared" si="14"/>
        <v/>
      </c>
      <c r="M23" s="83" t="str">
        <f t="shared" si="3"/>
        <v/>
      </c>
      <c r="N23" s="68" t="str">
        <f>IF(M23="","",LOOKUP(D23,概要と通り!$G$24:$G$54,概要と通り!$J$24:$J$54))</f>
        <v/>
      </c>
      <c r="O23" s="13" t="str">
        <f t="shared" si="15"/>
        <v/>
      </c>
      <c r="P23" s="13" t="str">
        <f t="shared" si="10"/>
        <v/>
      </c>
      <c r="R23" s="71"/>
      <c r="S23" s="71"/>
      <c r="T23" s="94"/>
      <c r="U23" s="154"/>
      <c r="V23" s="64" t="str">
        <f>IF(U23="","",LOOKUP(U23,概要と通り!$A$24:$A$54,概要と通り!$B$24:$B$54))</f>
        <v/>
      </c>
      <c r="W23" s="154"/>
      <c r="X23" s="155"/>
      <c r="Y23" s="64" t="str">
        <f t="shared" si="25"/>
        <v/>
      </c>
      <c r="Z23" s="156"/>
      <c r="AA23" s="64" t="str">
        <f t="shared" si="26"/>
        <v/>
      </c>
      <c r="AB23" s="164"/>
      <c r="AC23" s="64" t="str">
        <f t="shared" si="27"/>
        <v/>
      </c>
      <c r="AD23" s="83" t="str">
        <f t="shared" si="7"/>
        <v/>
      </c>
      <c r="AE23" s="68" t="str">
        <f>IF(AD23="","",LOOKUP(U23,概要と通り!$A$24:$A$54,概要と通り!$D$24:$D$54))</f>
        <v/>
      </c>
      <c r="AF23" s="13" t="str">
        <f t="shared" si="28"/>
        <v/>
      </c>
      <c r="AG23" s="13" t="str">
        <f t="shared" si="29"/>
        <v/>
      </c>
    </row>
    <row r="24" spans="1:33">
      <c r="A24" s="71"/>
      <c r="B24" s="71"/>
      <c r="C24" s="94"/>
      <c r="D24" s="154"/>
      <c r="E24" s="64" t="str">
        <f>IF(D24="","",LOOKUP(D24,概要と通り!$G$24:$G$54,概要と通り!$H$24:$H$54))</f>
        <v/>
      </c>
      <c r="F24" s="154"/>
      <c r="G24" s="155"/>
      <c r="H24" s="64" t="str">
        <f t="shared" si="12"/>
        <v/>
      </c>
      <c r="I24" s="156"/>
      <c r="J24" s="64" t="str">
        <f t="shared" si="13"/>
        <v/>
      </c>
      <c r="K24" s="157"/>
      <c r="L24" s="64" t="str">
        <f t="shared" si="14"/>
        <v/>
      </c>
      <c r="M24" s="83" t="str">
        <f t="shared" si="3"/>
        <v/>
      </c>
      <c r="N24" s="68" t="str">
        <f>IF(M24="","",LOOKUP(D24,概要と通り!$G$24:$G$54,概要と通り!$J$24:$J$54))</f>
        <v/>
      </c>
      <c r="O24" s="13" t="str">
        <f t="shared" si="15"/>
        <v/>
      </c>
      <c r="P24" s="13" t="str">
        <f t="shared" si="10"/>
        <v/>
      </c>
      <c r="R24" s="71"/>
      <c r="S24" s="71"/>
      <c r="T24" s="94"/>
      <c r="U24" s="154"/>
      <c r="V24" s="64" t="str">
        <f>IF(U24="","",LOOKUP(U24,概要と通り!$A$24:$A$54,概要と通り!$B$24:$B$54))</f>
        <v/>
      </c>
      <c r="W24" s="154"/>
      <c r="X24" s="155"/>
      <c r="Y24" s="64" t="str">
        <f t="shared" si="25"/>
        <v/>
      </c>
      <c r="Z24" s="156"/>
      <c r="AA24" s="64" t="str">
        <f t="shared" si="26"/>
        <v/>
      </c>
      <c r="AB24" s="164"/>
      <c r="AC24" s="64" t="str">
        <f t="shared" si="27"/>
        <v/>
      </c>
      <c r="AD24" s="83" t="str">
        <f t="shared" si="7"/>
        <v/>
      </c>
      <c r="AE24" s="68" t="str">
        <f>IF(AD24="","",LOOKUP(U24,概要と通り!$A$24:$A$54,概要と通り!$D$24:$D$54))</f>
        <v/>
      </c>
      <c r="AF24" s="13" t="str">
        <f t="shared" si="28"/>
        <v/>
      </c>
      <c r="AG24" s="13" t="str">
        <f t="shared" si="29"/>
        <v/>
      </c>
    </row>
    <row r="25" spans="1:33">
      <c r="A25" s="71"/>
      <c r="B25" s="71"/>
      <c r="C25" s="94"/>
      <c r="D25" s="154"/>
      <c r="E25" s="64" t="str">
        <f>IF(D25="","",LOOKUP(D25,概要と通り!$G$24:$G$54,概要と通り!$H$24:$H$54))</f>
        <v/>
      </c>
      <c r="F25" s="154"/>
      <c r="G25" s="155"/>
      <c r="H25" s="64" t="str">
        <f t="shared" si="12"/>
        <v/>
      </c>
      <c r="I25" s="156"/>
      <c r="J25" s="64" t="str">
        <f t="shared" si="13"/>
        <v/>
      </c>
      <c r="K25" s="157"/>
      <c r="L25" s="64" t="str">
        <f t="shared" si="14"/>
        <v/>
      </c>
      <c r="M25" s="83" t="str">
        <f t="shared" si="3"/>
        <v/>
      </c>
      <c r="N25" s="68" t="str">
        <f>IF(M25="","",LOOKUP(D25,概要と通り!$G$24:$G$54,概要と通り!$J$24:$J$54))</f>
        <v/>
      </c>
      <c r="O25" s="13" t="str">
        <f t="shared" si="15"/>
        <v/>
      </c>
      <c r="P25" s="13" t="str">
        <f t="shared" si="10"/>
        <v/>
      </c>
      <c r="R25" s="71"/>
      <c r="S25" s="71"/>
      <c r="T25" s="94"/>
      <c r="U25" s="154"/>
      <c r="V25" s="64" t="str">
        <f>IF(U25="","",LOOKUP(U25,概要と通り!$A$24:$A$54,概要と通り!$B$24:$B$54))</f>
        <v/>
      </c>
      <c r="W25" s="154"/>
      <c r="X25" s="155"/>
      <c r="Y25" s="64" t="str">
        <f t="shared" si="25"/>
        <v/>
      </c>
      <c r="Z25" s="156"/>
      <c r="AA25" s="64" t="str">
        <f t="shared" si="26"/>
        <v/>
      </c>
      <c r="AB25" s="164"/>
      <c r="AC25" s="64" t="str">
        <f t="shared" si="27"/>
        <v/>
      </c>
      <c r="AD25" s="83" t="str">
        <f t="shared" si="7"/>
        <v/>
      </c>
      <c r="AE25" s="68" t="str">
        <f>IF(AD25="","",LOOKUP(U25,概要と通り!$A$24:$A$54,概要と通り!$D$24:$D$54))</f>
        <v/>
      </c>
      <c r="AF25" s="13" t="str">
        <f t="shared" si="28"/>
        <v/>
      </c>
      <c r="AG25" s="13" t="str">
        <f t="shared" si="29"/>
        <v/>
      </c>
    </row>
    <row r="26" spans="1:33">
      <c r="A26" s="71"/>
      <c r="B26" s="71"/>
      <c r="C26" s="94"/>
      <c r="D26" s="154"/>
      <c r="E26" s="64" t="str">
        <f>IF(D26="","",LOOKUP(D26,概要と通り!$G$24:$G$54,概要と通り!$H$24:$H$54))</f>
        <v/>
      </c>
      <c r="F26" s="154"/>
      <c r="G26" s="155"/>
      <c r="H26" s="64" t="str">
        <f t="shared" si="12"/>
        <v/>
      </c>
      <c r="I26" s="156"/>
      <c r="J26" s="64" t="str">
        <f t="shared" si="13"/>
        <v/>
      </c>
      <c r="K26" s="157"/>
      <c r="L26" s="64" t="str">
        <f t="shared" si="14"/>
        <v/>
      </c>
      <c r="M26" s="83" t="str">
        <f t="shared" si="3"/>
        <v/>
      </c>
      <c r="N26" s="68" t="str">
        <f>IF(M26="","",LOOKUP(D26,概要と通り!$G$24:$G$54,概要と通り!$J$24:$J$54))</f>
        <v/>
      </c>
      <c r="O26" s="13" t="str">
        <f t="shared" si="15"/>
        <v/>
      </c>
      <c r="P26" s="13" t="str">
        <f t="shared" si="10"/>
        <v/>
      </c>
      <c r="R26" s="71"/>
      <c r="S26" s="71"/>
      <c r="T26" s="94"/>
      <c r="U26" s="154"/>
      <c r="V26" s="64" t="str">
        <f>IF(U26="","",LOOKUP(U26,概要と通り!$A$24:$A$54,概要と通り!$B$24:$B$54))</f>
        <v/>
      </c>
      <c r="W26" s="154"/>
      <c r="X26" s="155"/>
      <c r="Y26" s="64" t="str">
        <f t="shared" si="20"/>
        <v/>
      </c>
      <c r="Z26" s="156"/>
      <c r="AA26" s="64" t="str">
        <f t="shared" si="21"/>
        <v/>
      </c>
      <c r="AB26" s="164"/>
      <c r="AC26" s="64" t="str">
        <f t="shared" si="22"/>
        <v/>
      </c>
      <c r="AD26" s="83" t="str">
        <f t="shared" si="7"/>
        <v/>
      </c>
      <c r="AE26" s="68" t="str">
        <f>IF(AD26="","",LOOKUP(U26,概要と通り!$A$24:$A$54,概要と通り!$D$24:$D$54))</f>
        <v/>
      </c>
      <c r="AF26" s="13" t="str">
        <f t="shared" si="23"/>
        <v/>
      </c>
      <c r="AG26" s="13" t="str">
        <f t="shared" si="24"/>
        <v/>
      </c>
    </row>
    <row r="27" spans="1:33">
      <c r="A27" s="71"/>
      <c r="B27" s="71"/>
      <c r="C27" s="94"/>
      <c r="D27" s="154"/>
      <c r="E27" s="64" t="str">
        <f>IF(D27="","",LOOKUP(D27,概要と通り!$G$24:$G$54,概要と通り!$H$24:$H$54))</f>
        <v/>
      </c>
      <c r="F27" s="154"/>
      <c r="G27" s="155"/>
      <c r="H27" s="64" t="str">
        <f t="shared" si="12"/>
        <v/>
      </c>
      <c r="I27" s="156"/>
      <c r="J27" s="64" t="str">
        <f t="shared" si="13"/>
        <v/>
      </c>
      <c r="K27" s="157"/>
      <c r="L27" s="64" t="str">
        <f t="shared" si="14"/>
        <v/>
      </c>
      <c r="M27" s="83" t="str">
        <f t="shared" si="3"/>
        <v/>
      </c>
      <c r="N27" s="68" t="str">
        <f>IF(M27="","",LOOKUP(D27,概要と通り!$G$24:$G$54,概要と通り!$J$24:$J$54))</f>
        <v/>
      </c>
      <c r="O27" s="13" t="str">
        <f t="shared" si="15"/>
        <v/>
      </c>
      <c r="P27" s="13" t="str">
        <f t="shared" si="10"/>
        <v/>
      </c>
      <c r="R27" s="71"/>
      <c r="S27" s="71"/>
      <c r="T27" s="94"/>
      <c r="U27" s="154"/>
      <c r="V27" s="64" t="str">
        <f>IF(U27="","",LOOKUP(U27,概要と通り!$A$24:$A$54,概要と通り!$B$24:$B$54))</f>
        <v/>
      </c>
      <c r="W27" s="154"/>
      <c r="X27" s="155"/>
      <c r="Y27" s="64" t="str">
        <f t="shared" si="20"/>
        <v/>
      </c>
      <c r="Z27" s="156"/>
      <c r="AA27" s="64" t="str">
        <f t="shared" si="21"/>
        <v/>
      </c>
      <c r="AB27" s="164"/>
      <c r="AC27" s="64" t="str">
        <f t="shared" si="22"/>
        <v/>
      </c>
      <c r="AD27" s="83" t="str">
        <f t="shared" si="7"/>
        <v/>
      </c>
      <c r="AE27" s="68" t="str">
        <f>IF(AD27="","",LOOKUP(U27,概要と通り!$A$24:$A$54,概要と通り!$D$24:$D$54))</f>
        <v/>
      </c>
      <c r="AF27" s="13" t="str">
        <f t="shared" si="23"/>
        <v/>
      </c>
      <c r="AG27" s="13" t="str">
        <f t="shared" si="24"/>
        <v/>
      </c>
    </row>
    <row r="28" spans="1:33">
      <c r="A28" s="71"/>
      <c r="B28" s="71"/>
      <c r="C28" s="94"/>
      <c r="D28" s="154"/>
      <c r="E28" s="64" t="str">
        <f>IF(D28="","",LOOKUP(D28,概要と通り!$G$24:$G$54,概要と通り!$H$24:$H$54))</f>
        <v/>
      </c>
      <c r="F28" s="154"/>
      <c r="G28" s="155"/>
      <c r="H28" s="64" t="str">
        <f t="shared" si="12"/>
        <v/>
      </c>
      <c r="I28" s="156"/>
      <c r="J28" s="64" t="str">
        <f t="shared" si="13"/>
        <v/>
      </c>
      <c r="K28" s="157"/>
      <c r="L28" s="64" t="str">
        <f t="shared" si="14"/>
        <v/>
      </c>
      <c r="M28" s="83" t="str">
        <f t="shared" si="3"/>
        <v/>
      </c>
      <c r="N28" s="68" t="str">
        <f>IF(M28="","",LOOKUP(D28,概要と通り!$G$24:$G$54,概要と通り!$J$24:$J$54))</f>
        <v/>
      </c>
      <c r="O28" s="13" t="str">
        <f t="shared" si="15"/>
        <v/>
      </c>
      <c r="P28" s="13" t="str">
        <f t="shared" si="10"/>
        <v/>
      </c>
      <c r="R28" s="71"/>
      <c r="S28" s="71"/>
      <c r="T28" s="94"/>
      <c r="U28" s="154"/>
      <c r="V28" s="64" t="str">
        <f>IF(U28="","",LOOKUP(U28,概要と通り!$A$24:$A$54,概要と通り!$B$24:$B$54))</f>
        <v/>
      </c>
      <c r="W28" s="154"/>
      <c r="X28" s="155"/>
      <c r="Y28" s="64" t="str">
        <f t="shared" si="20"/>
        <v/>
      </c>
      <c r="Z28" s="156"/>
      <c r="AA28" s="64" t="str">
        <f t="shared" si="21"/>
        <v/>
      </c>
      <c r="AB28" s="164"/>
      <c r="AC28" s="64" t="str">
        <f t="shared" si="22"/>
        <v/>
      </c>
      <c r="AD28" s="83" t="str">
        <f t="shared" si="7"/>
        <v/>
      </c>
      <c r="AE28" s="68" t="str">
        <f>IF(AD28="","",LOOKUP(U28,概要と通り!$A$24:$A$54,概要と通り!$D$24:$D$54))</f>
        <v/>
      </c>
      <c r="AF28" s="13" t="str">
        <f t="shared" si="23"/>
        <v/>
      </c>
      <c r="AG28" s="13" t="str">
        <f t="shared" si="24"/>
        <v/>
      </c>
    </row>
    <row r="29" spans="1:33">
      <c r="A29" s="71"/>
      <c r="B29" s="71"/>
      <c r="C29" s="94"/>
      <c r="D29" s="154"/>
      <c r="E29" s="64" t="str">
        <f>IF(D29="","",LOOKUP(D29,概要と通り!$G$24:$G$54,概要と通り!$H$24:$H$54))</f>
        <v/>
      </c>
      <c r="F29" s="154"/>
      <c r="G29" s="155"/>
      <c r="H29" s="64" t="str">
        <f t="shared" si="12"/>
        <v/>
      </c>
      <c r="I29" s="156"/>
      <c r="J29" s="64" t="str">
        <f t="shared" si="13"/>
        <v/>
      </c>
      <c r="K29" s="157"/>
      <c r="L29" s="64" t="str">
        <f t="shared" si="14"/>
        <v/>
      </c>
      <c r="M29" s="83" t="str">
        <f t="shared" si="3"/>
        <v/>
      </c>
      <c r="N29" s="68" t="str">
        <f>IF(M29="","",LOOKUP(D29,概要と通り!$G$24:$G$54,概要と通り!$J$24:$J$54))</f>
        <v/>
      </c>
      <c r="O29" s="13" t="str">
        <f t="shared" si="15"/>
        <v/>
      </c>
      <c r="P29" s="13" t="str">
        <f t="shared" si="10"/>
        <v/>
      </c>
      <c r="R29" s="71"/>
      <c r="S29" s="71"/>
      <c r="T29" s="94"/>
      <c r="U29" s="154"/>
      <c r="V29" s="64" t="str">
        <f>IF(U29="","",LOOKUP(U29,概要と通り!$A$24:$A$54,概要と通り!$B$24:$B$54))</f>
        <v/>
      </c>
      <c r="W29" s="154"/>
      <c r="X29" s="155"/>
      <c r="Y29" s="64" t="str">
        <f t="shared" si="20"/>
        <v/>
      </c>
      <c r="Z29" s="156"/>
      <c r="AA29" s="64" t="str">
        <f t="shared" si="21"/>
        <v/>
      </c>
      <c r="AB29" s="164"/>
      <c r="AC29" s="64" t="str">
        <f t="shared" si="22"/>
        <v/>
      </c>
      <c r="AD29" s="83" t="str">
        <f t="shared" si="7"/>
        <v/>
      </c>
      <c r="AE29" s="68" t="str">
        <f>IF(AD29="","",LOOKUP(U29,概要と通り!$A$24:$A$54,概要と通り!$D$24:$D$54))</f>
        <v/>
      </c>
      <c r="AF29" s="13" t="str">
        <f t="shared" si="23"/>
        <v/>
      </c>
      <c r="AG29" s="13" t="str">
        <f t="shared" si="24"/>
        <v/>
      </c>
    </row>
    <row r="30" spans="1:33">
      <c r="A30" s="71"/>
      <c r="B30" s="71"/>
      <c r="C30" s="94"/>
      <c r="D30" s="154"/>
      <c r="E30" s="64" t="str">
        <f>IF(D30="","",LOOKUP(D30,概要と通り!$G$24:$G$54,概要と通り!$H$24:$H$54))</f>
        <v/>
      </c>
      <c r="F30" s="154"/>
      <c r="G30" s="155"/>
      <c r="H30" s="64" t="str">
        <f t="shared" si="12"/>
        <v/>
      </c>
      <c r="I30" s="156"/>
      <c r="J30" s="64" t="str">
        <f t="shared" si="13"/>
        <v/>
      </c>
      <c r="K30" s="157"/>
      <c r="L30" s="64" t="str">
        <f t="shared" si="14"/>
        <v/>
      </c>
      <c r="M30" s="83" t="str">
        <f t="shared" si="3"/>
        <v/>
      </c>
      <c r="N30" s="68" t="str">
        <f>IF(M30="","",LOOKUP(D30,概要と通り!$G$24:$G$54,概要と通り!$J$24:$J$54))</f>
        <v/>
      </c>
      <c r="O30" s="13" t="str">
        <f t="shared" si="15"/>
        <v/>
      </c>
      <c r="P30" s="13" t="str">
        <f t="shared" si="10"/>
        <v/>
      </c>
      <c r="R30" s="71"/>
      <c r="S30" s="71"/>
      <c r="T30" s="94"/>
      <c r="U30" s="154"/>
      <c r="V30" s="64" t="str">
        <f>IF(U30="","",LOOKUP(U30,概要と通り!$A$24:$A$54,概要と通り!$B$24:$B$54))</f>
        <v/>
      </c>
      <c r="W30" s="154"/>
      <c r="X30" s="155"/>
      <c r="Y30" s="64" t="str">
        <f t="shared" si="20"/>
        <v/>
      </c>
      <c r="Z30" s="156"/>
      <c r="AA30" s="64" t="str">
        <f t="shared" si="21"/>
        <v/>
      </c>
      <c r="AB30" s="164"/>
      <c r="AC30" s="64" t="str">
        <f t="shared" si="22"/>
        <v/>
      </c>
      <c r="AD30" s="83" t="str">
        <f t="shared" si="7"/>
        <v/>
      </c>
      <c r="AE30" s="68" t="str">
        <f>IF(AD30="","",LOOKUP(U30,概要と通り!$A$24:$A$54,概要と通り!$D$24:$D$54))</f>
        <v/>
      </c>
      <c r="AF30" s="13" t="str">
        <f t="shared" si="23"/>
        <v/>
      </c>
      <c r="AG30" s="13" t="str">
        <f t="shared" si="24"/>
        <v/>
      </c>
    </row>
    <row r="31" spans="1:33">
      <c r="A31" s="71"/>
      <c r="B31" s="71"/>
      <c r="C31" s="94"/>
      <c r="D31" s="154"/>
      <c r="E31" s="64" t="str">
        <f>IF(D31="","",LOOKUP(D31,概要と通り!$G$24:$G$54,概要と通り!$H$24:$H$54))</f>
        <v/>
      </c>
      <c r="F31" s="154"/>
      <c r="G31" s="155"/>
      <c r="H31" s="64" t="str">
        <f t="shared" si="12"/>
        <v/>
      </c>
      <c r="I31" s="156"/>
      <c r="J31" s="64" t="str">
        <f t="shared" si="13"/>
        <v/>
      </c>
      <c r="K31" s="157"/>
      <c r="L31" s="64" t="str">
        <f t="shared" si="14"/>
        <v/>
      </c>
      <c r="M31" s="83" t="str">
        <f t="shared" si="3"/>
        <v/>
      </c>
      <c r="N31" s="68" t="str">
        <f>IF(M31="","",LOOKUP(D31,概要と通り!$G$24:$G$54,概要と通り!$J$24:$J$54))</f>
        <v/>
      </c>
      <c r="O31" s="13" t="str">
        <f t="shared" si="15"/>
        <v/>
      </c>
      <c r="P31" s="13" t="str">
        <f t="shared" si="10"/>
        <v/>
      </c>
      <c r="R31" s="71"/>
      <c r="S31" s="71"/>
      <c r="T31" s="94"/>
      <c r="U31" s="154"/>
      <c r="V31" s="64" t="str">
        <f>IF(U31="","",LOOKUP(U31,概要と通り!$A$24:$A$54,概要と通り!$B$24:$B$54))</f>
        <v/>
      </c>
      <c r="W31" s="154"/>
      <c r="X31" s="155"/>
      <c r="Y31" s="64" t="str">
        <f t="shared" si="20"/>
        <v/>
      </c>
      <c r="Z31" s="156"/>
      <c r="AA31" s="64" t="str">
        <f t="shared" si="21"/>
        <v/>
      </c>
      <c r="AB31" s="164"/>
      <c r="AC31" s="64" t="str">
        <f t="shared" si="22"/>
        <v/>
      </c>
      <c r="AD31" s="83" t="str">
        <f t="shared" si="7"/>
        <v/>
      </c>
      <c r="AE31" s="68" t="str">
        <f>IF(AD31="","",LOOKUP(U31,概要と通り!$A$24:$A$54,概要と通り!$D$24:$D$54))</f>
        <v/>
      </c>
      <c r="AF31" s="13" t="str">
        <f t="shared" si="23"/>
        <v/>
      </c>
      <c r="AG31" s="13" t="str">
        <f t="shared" si="24"/>
        <v/>
      </c>
    </row>
    <row r="32" spans="1:33">
      <c r="A32" s="71"/>
      <c r="B32" s="71"/>
      <c r="C32" s="94"/>
      <c r="D32" s="154"/>
      <c r="E32" s="64" t="str">
        <f>IF(D32="","",LOOKUP(D32,概要と通り!$G$24:$G$54,概要と通り!$H$24:$H$54))</f>
        <v/>
      </c>
      <c r="F32" s="154"/>
      <c r="G32" s="155"/>
      <c r="H32" s="64" t="str">
        <f t="shared" si="12"/>
        <v/>
      </c>
      <c r="I32" s="156"/>
      <c r="J32" s="64" t="str">
        <f t="shared" si="13"/>
        <v/>
      </c>
      <c r="K32" s="157"/>
      <c r="L32" s="64" t="str">
        <f t="shared" si="14"/>
        <v/>
      </c>
      <c r="M32" s="83" t="str">
        <f t="shared" si="3"/>
        <v/>
      </c>
      <c r="N32" s="68" t="str">
        <f>IF(M32="","",LOOKUP(D32,概要と通り!$G$24:$G$54,概要と通り!$J$24:$J$54))</f>
        <v/>
      </c>
      <c r="O32" s="13" t="str">
        <f t="shared" si="15"/>
        <v/>
      </c>
      <c r="P32" s="13" t="str">
        <f t="shared" si="10"/>
        <v/>
      </c>
      <c r="R32" s="71"/>
      <c r="S32" s="71"/>
      <c r="T32" s="94"/>
      <c r="U32" s="154"/>
      <c r="V32" s="64" t="str">
        <f>IF(U32="","",LOOKUP(U32,概要と通り!$A$24:$A$54,概要と通り!$B$24:$B$54))</f>
        <v/>
      </c>
      <c r="W32" s="154"/>
      <c r="X32" s="155"/>
      <c r="Y32" s="64" t="str">
        <f t="shared" si="20"/>
        <v/>
      </c>
      <c r="Z32" s="156"/>
      <c r="AA32" s="64" t="str">
        <f t="shared" si="21"/>
        <v/>
      </c>
      <c r="AB32" s="164"/>
      <c r="AC32" s="64" t="str">
        <f t="shared" si="22"/>
        <v/>
      </c>
      <c r="AD32" s="83" t="str">
        <f t="shared" si="7"/>
        <v/>
      </c>
      <c r="AE32" s="68" t="str">
        <f>IF(AD32="","",LOOKUP(U32,概要と通り!$A$24:$A$54,概要と通り!$D$24:$D$54))</f>
        <v/>
      </c>
      <c r="AF32" s="13" t="str">
        <f t="shared" si="23"/>
        <v/>
      </c>
      <c r="AG32" s="13" t="str">
        <f t="shared" si="24"/>
        <v/>
      </c>
    </row>
    <row r="33" spans="1:33">
      <c r="A33" s="71"/>
      <c r="B33" s="71"/>
      <c r="C33" s="94"/>
      <c r="D33" s="154"/>
      <c r="E33" s="64" t="str">
        <f>IF(D33="","",LOOKUP(D33,概要と通り!$G$24:$G$54,概要と通り!$H$24:$H$54))</f>
        <v/>
      </c>
      <c r="F33" s="154"/>
      <c r="G33" s="155"/>
      <c r="H33" s="64" t="str">
        <f t="shared" si="12"/>
        <v/>
      </c>
      <c r="I33" s="156"/>
      <c r="J33" s="64" t="str">
        <f t="shared" si="13"/>
        <v/>
      </c>
      <c r="K33" s="157"/>
      <c r="L33" s="64" t="str">
        <f t="shared" si="14"/>
        <v/>
      </c>
      <c r="M33" s="83" t="str">
        <f t="shared" si="3"/>
        <v/>
      </c>
      <c r="N33" s="68" t="str">
        <f>IF(M33="","",LOOKUP(D33,概要と通り!$G$24:$G$54,概要と通り!$J$24:$J$54))</f>
        <v/>
      </c>
      <c r="O33" s="13" t="str">
        <f t="shared" si="15"/>
        <v/>
      </c>
      <c r="P33" s="13" t="str">
        <f t="shared" si="10"/>
        <v/>
      </c>
      <c r="R33" s="71"/>
      <c r="S33" s="71"/>
      <c r="T33" s="94"/>
      <c r="U33" s="154"/>
      <c r="V33" s="64" t="str">
        <f>IF(U33="","",LOOKUP(U33,概要と通り!$A$24:$A$54,概要と通り!$B$24:$B$54))</f>
        <v/>
      </c>
      <c r="W33" s="154"/>
      <c r="X33" s="155"/>
      <c r="Y33" s="64" t="str">
        <f t="shared" si="16"/>
        <v/>
      </c>
      <c r="Z33" s="156"/>
      <c r="AA33" s="64" t="str">
        <f t="shared" si="17"/>
        <v/>
      </c>
      <c r="AB33" s="164"/>
      <c r="AC33" s="64" t="str">
        <f t="shared" si="18"/>
        <v/>
      </c>
      <c r="AD33" s="83" t="str">
        <f t="shared" si="7"/>
        <v/>
      </c>
      <c r="AE33" s="68" t="str">
        <f>IF(AD33="","",LOOKUP(U33,概要と通り!$A$24:$A$54,概要と通り!$D$24:$D$54))</f>
        <v/>
      </c>
      <c r="AF33" s="13" t="str">
        <f t="shared" si="19"/>
        <v/>
      </c>
      <c r="AG33" s="13" t="str">
        <f t="shared" si="11"/>
        <v/>
      </c>
    </row>
    <row r="34" spans="1:33">
      <c r="A34" s="71"/>
      <c r="B34" s="71"/>
      <c r="C34" s="94"/>
      <c r="D34" s="154"/>
      <c r="E34" s="64" t="str">
        <f>IF(D34="","",LOOKUP(D34,概要と通り!$G$24:$G$54,概要と通り!$H$24:$H$54))</f>
        <v/>
      </c>
      <c r="F34" s="154"/>
      <c r="G34" s="155"/>
      <c r="H34" s="64" t="str">
        <f t="shared" si="12"/>
        <v/>
      </c>
      <c r="I34" s="156"/>
      <c r="J34" s="64" t="str">
        <f t="shared" si="13"/>
        <v/>
      </c>
      <c r="K34" s="157"/>
      <c r="L34" s="64" t="str">
        <f t="shared" si="14"/>
        <v/>
      </c>
      <c r="M34" s="83" t="str">
        <f t="shared" si="3"/>
        <v/>
      </c>
      <c r="N34" s="68" t="str">
        <f>IF(M34="","",LOOKUP(D34,概要と通り!$G$24:$G$54,概要と通り!$J$24:$J$54))</f>
        <v/>
      </c>
      <c r="O34" s="13" t="str">
        <f t="shared" si="15"/>
        <v/>
      </c>
      <c r="P34" s="13" t="str">
        <f t="shared" si="10"/>
        <v/>
      </c>
      <c r="R34" s="71"/>
      <c r="S34" s="71"/>
      <c r="T34" s="94"/>
      <c r="U34" s="154"/>
      <c r="V34" s="64" t="str">
        <f>IF(U34="","",LOOKUP(U34,概要と通り!$A$24:$A$54,概要と通り!$B$24:$B$54))</f>
        <v/>
      </c>
      <c r="W34" s="154"/>
      <c r="X34" s="155"/>
      <c r="Y34" s="64" t="str">
        <f t="shared" si="16"/>
        <v/>
      </c>
      <c r="Z34" s="156"/>
      <c r="AA34" s="64" t="str">
        <f t="shared" si="17"/>
        <v/>
      </c>
      <c r="AB34" s="164"/>
      <c r="AC34" s="64" t="str">
        <f t="shared" si="18"/>
        <v/>
      </c>
      <c r="AD34" s="83" t="str">
        <f t="shared" si="7"/>
        <v/>
      </c>
      <c r="AE34" s="68" t="str">
        <f>IF(AD34="","",LOOKUP(U34,概要と通り!$A$24:$A$54,概要と通り!$D$24:$D$54))</f>
        <v/>
      </c>
      <c r="AF34" s="13" t="str">
        <f t="shared" si="19"/>
        <v/>
      </c>
      <c r="AG34" s="13" t="str">
        <f t="shared" si="11"/>
        <v/>
      </c>
    </row>
    <row r="35" spans="1:33">
      <c r="A35" s="71"/>
      <c r="B35" s="71"/>
      <c r="C35" s="94"/>
      <c r="D35" s="154"/>
      <c r="E35" s="64" t="str">
        <f>IF(D35="","",LOOKUP(D35,概要と通り!$G$24:$G$54,概要と通り!$H$24:$H$54))</f>
        <v/>
      </c>
      <c r="F35" s="154"/>
      <c r="G35" s="155"/>
      <c r="H35" s="64" t="str">
        <f t="shared" si="12"/>
        <v/>
      </c>
      <c r="I35" s="156"/>
      <c r="J35" s="64" t="str">
        <f t="shared" si="13"/>
        <v/>
      </c>
      <c r="K35" s="157"/>
      <c r="L35" s="64" t="str">
        <f t="shared" si="14"/>
        <v/>
      </c>
      <c r="M35" s="83" t="str">
        <f t="shared" si="3"/>
        <v/>
      </c>
      <c r="N35" s="68" t="str">
        <f>IF(M35="","",LOOKUP(D35,概要と通り!$G$24:$G$54,概要と通り!$J$24:$J$54))</f>
        <v/>
      </c>
      <c r="O35" s="13" t="str">
        <f t="shared" si="15"/>
        <v/>
      </c>
      <c r="P35" s="13" t="str">
        <f t="shared" si="10"/>
        <v/>
      </c>
      <c r="R35" s="71"/>
      <c r="S35" s="71"/>
      <c r="T35" s="94"/>
      <c r="U35" s="154"/>
      <c r="V35" s="64" t="str">
        <f>IF(U35="","",LOOKUP(U35,概要と通り!$A$24:$A$54,概要と通り!$B$24:$B$54))</f>
        <v/>
      </c>
      <c r="W35" s="154"/>
      <c r="X35" s="155"/>
      <c r="Y35" s="64" t="str">
        <f t="shared" si="16"/>
        <v/>
      </c>
      <c r="Z35" s="156"/>
      <c r="AA35" s="64" t="str">
        <f t="shared" si="17"/>
        <v/>
      </c>
      <c r="AB35" s="164"/>
      <c r="AC35" s="64" t="str">
        <f t="shared" si="18"/>
        <v/>
      </c>
      <c r="AD35" s="83" t="str">
        <f t="shared" si="7"/>
        <v/>
      </c>
      <c r="AE35" s="68" t="str">
        <f>IF(AD35="","",LOOKUP(U35,概要と通り!$A$24:$A$54,概要と通り!$D$24:$D$54))</f>
        <v/>
      </c>
      <c r="AF35" s="13" t="str">
        <f t="shared" si="19"/>
        <v/>
      </c>
      <c r="AG35" s="13" t="str">
        <f t="shared" si="11"/>
        <v/>
      </c>
    </row>
    <row r="36" spans="1:33">
      <c r="A36" s="71"/>
      <c r="B36" s="71"/>
      <c r="C36" s="94"/>
      <c r="D36" s="154"/>
      <c r="E36" s="64" t="str">
        <f>IF(D36="","",LOOKUP(D36,概要と通り!$G$24:$G$54,概要と通り!$H$24:$H$54))</f>
        <v/>
      </c>
      <c r="F36" s="154"/>
      <c r="G36" s="155"/>
      <c r="H36" s="64" t="str">
        <f t="shared" si="12"/>
        <v/>
      </c>
      <c r="I36" s="156"/>
      <c r="J36" s="64" t="str">
        <f t="shared" si="13"/>
        <v/>
      </c>
      <c r="K36" s="157"/>
      <c r="L36" s="64" t="str">
        <f t="shared" si="14"/>
        <v/>
      </c>
      <c r="M36" s="83" t="str">
        <f t="shared" si="3"/>
        <v/>
      </c>
      <c r="N36" s="68" t="str">
        <f>IF(M36="","",LOOKUP(D36,概要と通り!$G$24:$G$54,概要と通り!$J$24:$J$54))</f>
        <v/>
      </c>
      <c r="O36" s="13" t="str">
        <f t="shared" si="15"/>
        <v/>
      </c>
      <c r="P36" s="13" t="str">
        <f t="shared" si="10"/>
        <v/>
      </c>
      <c r="R36" s="71"/>
      <c r="S36" s="71"/>
      <c r="T36" s="94"/>
      <c r="U36" s="154"/>
      <c r="V36" s="64" t="str">
        <f>IF(U36="","",LOOKUP(U36,概要と通り!$A$24:$A$54,概要と通り!$B$24:$B$54))</f>
        <v/>
      </c>
      <c r="W36" s="154"/>
      <c r="X36" s="155"/>
      <c r="Y36" s="64" t="str">
        <f t="shared" si="16"/>
        <v/>
      </c>
      <c r="Z36" s="156"/>
      <c r="AA36" s="64" t="str">
        <f t="shared" si="17"/>
        <v/>
      </c>
      <c r="AB36" s="164"/>
      <c r="AC36" s="64" t="str">
        <f t="shared" si="18"/>
        <v/>
      </c>
      <c r="AD36" s="83" t="str">
        <f t="shared" si="7"/>
        <v/>
      </c>
      <c r="AE36" s="68" t="str">
        <f>IF(AD36="","",LOOKUP(U36,概要と通り!$A$24:$A$54,概要と通り!$D$24:$D$54))</f>
        <v/>
      </c>
      <c r="AF36" s="13" t="str">
        <f t="shared" si="19"/>
        <v/>
      </c>
      <c r="AG36" s="13" t="str">
        <f t="shared" si="11"/>
        <v/>
      </c>
    </row>
    <row r="37" spans="1:33">
      <c r="A37" s="71"/>
      <c r="B37" s="71"/>
      <c r="C37" s="94"/>
      <c r="D37" s="154"/>
      <c r="E37" s="64" t="str">
        <f>IF(D37="","",LOOKUP(D37,概要と通り!$G$24:$G$54,概要と通り!$H$24:$H$54))</f>
        <v/>
      </c>
      <c r="F37" s="154"/>
      <c r="G37" s="155"/>
      <c r="H37" s="64" t="str">
        <f t="shared" si="12"/>
        <v/>
      </c>
      <c r="I37" s="156"/>
      <c r="J37" s="64" t="str">
        <f t="shared" si="13"/>
        <v/>
      </c>
      <c r="K37" s="157"/>
      <c r="L37" s="64" t="str">
        <f t="shared" si="14"/>
        <v/>
      </c>
      <c r="M37" s="83" t="str">
        <f t="shared" ref="M37:M59" si="30">IF(K37="","",IF(0.0001&gt;ABS(G37*I37*K37/1000),0,ABS(G37*I37*K37/1000)))</f>
        <v/>
      </c>
      <c r="N37" s="68" t="str">
        <f>IF(M37="","",LOOKUP(D37,概要と通り!$G$24:$G$54,概要と通り!$J$24:$J$54))</f>
        <v/>
      </c>
      <c r="O37" s="13" t="str">
        <f t="shared" si="15"/>
        <v/>
      </c>
      <c r="P37" s="13" t="str">
        <f t="shared" ref="P37:P59" si="31">IF(M37="","",M37*(N37-$P$63)^2)</f>
        <v/>
      </c>
      <c r="R37" s="71"/>
      <c r="S37" s="71"/>
      <c r="T37" s="94"/>
      <c r="U37" s="154"/>
      <c r="V37" s="64" t="str">
        <f>IF(U37="","",LOOKUP(U37,概要と通り!$A$24:$A$54,概要と通り!$B$24:$B$54))</f>
        <v/>
      </c>
      <c r="W37" s="154"/>
      <c r="X37" s="155"/>
      <c r="Y37" s="64" t="str">
        <f t="shared" si="16"/>
        <v/>
      </c>
      <c r="Z37" s="156"/>
      <c r="AA37" s="64" t="str">
        <f t="shared" si="17"/>
        <v/>
      </c>
      <c r="AB37" s="164"/>
      <c r="AC37" s="64" t="str">
        <f t="shared" si="18"/>
        <v/>
      </c>
      <c r="AD37" s="83" t="str">
        <f t="shared" ref="AD37:AD59" si="32">IF(AB37="","",IF(0.0001&gt;ABS(X37*Z37*AB37/1000),0,ABS(X37*Z37*AB37/1000)))</f>
        <v/>
      </c>
      <c r="AE37" s="68" t="str">
        <f>IF(AD37="","",LOOKUP(U37,概要と通り!$A$24:$A$54,概要と通り!$D$24:$D$54))</f>
        <v/>
      </c>
      <c r="AF37" s="13" t="str">
        <f t="shared" si="19"/>
        <v/>
      </c>
      <c r="AG37" s="13" t="str">
        <f t="shared" ref="AG37:AG59" si="33">IF(AD37="","",AD37*(AE37-$AG$63)^2)</f>
        <v/>
      </c>
    </row>
    <row r="38" spans="1:33">
      <c r="A38" s="71"/>
      <c r="B38" s="71"/>
      <c r="C38" s="94"/>
      <c r="D38" s="154"/>
      <c r="E38" s="64" t="str">
        <f>IF(D38="","",LOOKUP(D38,概要と通り!$G$24:$G$54,概要と通り!$H$24:$H$54))</f>
        <v/>
      </c>
      <c r="F38" s="154"/>
      <c r="G38" s="155"/>
      <c r="H38" s="64" t="str">
        <f t="shared" si="12"/>
        <v/>
      </c>
      <c r="I38" s="156"/>
      <c r="J38" s="64" t="str">
        <f t="shared" si="13"/>
        <v/>
      </c>
      <c r="K38" s="157"/>
      <c r="L38" s="64" t="str">
        <f t="shared" si="14"/>
        <v/>
      </c>
      <c r="M38" s="83" t="str">
        <f t="shared" si="30"/>
        <v/>
      </c>
      <c r="N38" s="68" t="str">
        <f>IF(M38="","",LOOKUP(D38,概要と通り!$G$24:$G$54,概要と通り!$J$24:$J$54))</f>
        <v/>
      </c>
      <c r="O38" s="13" t="str">
        <f t="shared" si="15"/>
        <v/>
      </c>
      <c r="P38" s="13" t="str">
        <f t="shared" si="31"/>
        <v/>
      </c>
      <c r="R38" s="71"/>
      <c r="S38" s="71"/>
      <c r="T38" s="94"/>
      <c r="U38" s="154"/>
      <c r="V38" s="64" t="str">
        <f>IF(U38="","",LOOKUP(U38,概要と通り!$A$24:$A$54,概要と通り!$B$24:$B$54))</f>
        <v/>
      </c>
      <c r="W38" s="154"/>
      <c r="X38" s="155"/>
      <c r="Y38" s="64" t="str">
        <f t="shared" si="16"/>
        <v/>
      </c>
      <c r="Z38" s="156"/>
      <c r="AA38" s="64" t="str">
        <f t="shared" si="17"/>
        <v/>
      </c>
      <c r="AB38" s="164"/>
      <c r="AC38" s="64" t="str">
        <f t="shared" si="18"/>
        <v/>
      </c>
      <c r="AD38" s="83" t="str">
        <f t="shared" si="32"/>
        <v/>
      </c>
      <c r="AE38" s="68" t="str">
        <f>IF(AD38="","",LOOKUP(U38,概要と通り!$A$24:$A$54,概要と通り!$D$24:$D$54))</f>
        <v/>
      </c>
      <c r="AF38" s="13" t="str">
        <f t="shared" si="19"/>
        <v/>
      </c>
      <c r="AG38" s="13" t="str">
        <f t="shared" si="33"/>
        <v/>
      </c>
    </row>
    <row r="39" spans="1:33">
      <c r="A39" s="71"/>
      <c r="B39" s="71"/>
      <c r="C39" s="94"/>
      <c r="D39" s="154"/>
      <c r="E39" s="64" t="str">
        <f>IF(D39="","",LOOKUP(D39,概要と通り!$G$24:$G$54,概要と通り!$H$24:$H$54))</f>
        <v/>
      </c>
      <c r="F39" s="154"/>
      <c r="G39" s="155"/>
      <c r="H39" s="64" t="str">
        <f t="shared" si="12"/>
        <v/>
      </c>
      <c r="I39" s="156"/>
      <c r="J39" s="64" t="str">
        <f t="shared" si="13"/>
        <v/>
      </c>
      <c r="K39" s="157"/>
      <c r="L39" s="64" t="str">
        <f t="shared" si="14"/>
        <v/>
      </c>
      <c r="M39" s="83" t="str">
        <f t="shared" si="30"/>
        <v/>
      </c>
      <c r="N39" s="68" t="str">
        <f>IF(M39="","",LOOKUP(D39,概要と通り!$G$24:$G$54,概要と通り!$J$24:$J$54))</f>
        <v/>
      </c>
      <c r="O39" s="13" t="str">
        <f t="shared" si="15"/>
        <v/>
      </c>
      <c r="P39" s="13" t="str">
        <f t="shared" si="31"/>
        <v/>
      </c>
      <c r="R39" s="71"/>
      <c r="S39" s="71"/>
      <c r="T39" s="94"/>
      <c r="U39" s="154"/>
      <c r="V39" s="64" t="str">
        <f>IF(U39="","",LOOKUP(U39,概要と通り!$A$24:$A$54,概要と通り!$B$24:$B$54))</f>
        <v/>
      </c>
      <c r="W39" s="154"/>
      <c r="X39" s="155"/>
      <c r="Y39" s="64" t="str">
        <f t="shared" si="16"/>
        <v/>
      </c>
      <c r="Z39" s="156"/>
      <c r="AA39" s="64" t="str">
        <f t="shared" si="17"/>
        <v/>
      </c>
      <c r="AB39" s="164"/>
      <c r="AC39" s="64" t="str">
        <f t="shared" si="18"/>
        <v/>
      </c>
      <c r="AD39" s="83" t="str">
        <f t="shared" si="32"/>
        <v/>
      </c>
      <c r="AE39" s="68" t="str">
        <f>IF(AD39="","",LOOKUP(U39,概要と通り!$A$24:$A$54,概要と通り!$D$24:$D$54))</f>
        <v/>
      </c>
      <c r="AF39" s="13" t="str">
        <f t="shared" si="19"/>
        <v/>
      </c>
      <c r="AG39" s="13" t="str">
        <f t="shared" si="33"/>
        <v/>
      </c>
    </row>
    <row r="40" spans="1:33">
      <c r="A40" s="71"/>
      <c r="B40" s="71"/>
      <c r="C40" s="94"/>
      <c r="D40" s="154"/>
      <c r="E40" s="64" t="str">
        <f>IF(D40="","",LOOKUP(D40,概要と通り!$G$24:$G$54,概要と通り!$H$24:$H$54))</f>
        <v/>
      </c>
      <c r="F40" s="154"/>
      <c r="G40" s="155"/>
      <c r="H40" s="64" t="str">
        <f t="shared" si="12"/>
        <v/>
      </c>
      <c r="I40" s="156"/>
      <c r="J40" s="64" t="str">
        <f t="shared" si="13"/>
        <v/>
      </c>
      <c r="K40" s="157"/>
      <c r="L40" s="64" t="str">
        <f t="shared" si="14"/>
        <v/>
      </c>
      <c r="M40" s="83" t="str">
        <f t="shared" si="30"/>
        <v/>
      </c>
      <c r="N40" s="68" t="str">
        <f>IF(M40="","",LOOKUP(D40,概要と通り!$G$24:$G$54,概要と通り!$J$24:$J$54))</f>
        <v/>
      </c>
      <c r="O40" s="13" t="str">
        <f t="shared" si="15"/>
        <v/>
      </c>
      <c r="P40" s="13" t="str">
        <f t="shared" si="31"/>
        <v/>
      </c>
      <c r="R40" s="71"/>
      <c r="S40" s="71"/>
      <c r="T40" s="94"/>
      <c r="U40" s="154"/>
      <c r="V40" s="64" t="str">
        <f>IF(U40="","",LOOKUP(U40,概要と通り!$A$24:$A$54,概要と通り!$B$24:$B$54))</f>
        <v/>
      </c>
      <c r="W40" s="154"/>
      <c r="X40" s="155"/>
      <c r="Y40" s="64" t="str">
        <f t="shared" si="16"/>
        <v/>
      </c>
      <c r="Z40" s="156"/>
      <c r="AA40" s="64" t="str">
        <f t="shared" si="17"/>
        <v/>
      </c>
      <c r="AB40" s="164"/>
      <c r="AC40" s="64" t="str">
        <f t="shared" si="18"/>
        <v/>
      </c>
      <c r="AD40" s="83" t="str">
        <f t="shared" si="32"/>
        <v/>
      </c>
      <c r="AE40" s="68" t="str">
        <f>IF(AD40="","",LOOKUP(U40,概要と通り!$A$24:$A$54,概要と通り!$D$24:$D$54))</f>
        <v/>
      </c>
      <c r="AF40" s="13" t="str">
        <f t="shared" si="19"/>
        <v/>
      </c>
      <c r="AG40" s="13" t="str">
        <f t="shared" si="33"/>
        <v/>
      </c>
    </row>
    <row r="41" spans="1:33">
      <c r="A41" s="71"/>
      <c r="B41" s="71"/>
      <c r="C41" s="94"/>
      <c r="D41" s="154"/>
      <c r="E41" s="64" t="str">
        <f>IF(D41="","",LOOKUP(D41,概要と通り!$G$24:$G$54,概要と通り!$H$24:$H$54))</f>
        <v/>
      </c>
      <c r="F41" s="154"/>
      <c r="G41" s="155"/>
      <c r="H41" s="64" t="str">
        <f t="shared" si="12"/>
        <v/>
      </c>
      <c r="I41" s="156"/>
      <c r="J41" s="64" t="str">
        <f t="shared" si="13"/>
        <v/>
      </c>
      <c r="K41" s="157"/>
      <c r="L41" s="64" t="str">
        <f t="shared" si="14"/>
        <v/>
      </c>
      <c r="M41" s="83" t="str">
        <f t="shared" si="30"/>
        <v/>
      </c>
      <c r="N41" s="68" t="str">
        <f>IF(M41="","",LOOKUP(D41,概要と通り!$G$24:$G$54,概要と通り!$J$24:$J$54))</f>
        <v/>
      </c>
      <c r="O41" s="13" t="str">
        <f t="shared" si="15"/>
        <v/>
      </c>
      <c r="P41" s="13" t="str">
        <f t="shared" si="31"/>
        <v/>
      </c>
      <c r="R41" s="71"/>
      <c r="S41" s="71"/>
      <c r="T41" s="94"/>
      <c r="U41" s="154"/>
      <c r="V41" s="64" t="str">
        <f>IF(U41="","",LOOKUP(U41,概要と通り!$A$24:$A$54,概要と通り!$B$24:$B$54))</f>
        <v/>
      </c>
      <c r="W41" s="154"/>
      <c r="X41" s="155"/>
      <c r="Y41" s="64" t="str">
        <f t="shared" si="16"/>
        <v/>
      </c>
      <c r="Z41" s="156"/>
      <c r="AA41" s="64" t="str">
        <f t="shared" si="17"/>
        <v/>
      </c>
      <c r="AB41" s="164"/>
      <c r="AC41" s="64" t="str">
        <f t="shared" si="18"/>
        <v/>
      </c>
      <c r="AD41" s="83" t="str">
        <f t="shared" si="32"/>
        <v/>
      </c>
      <c r="AE41" s="68" t="str">
        <f>IF(AD41="","",LOOKUP(U41,概要と通り!$A$24:$A$54,概要と通り!$D$24:$D$54))</f>
        <v/>
      </c>
      <c r="AF41" s="13" t="str">
        <f t="shared" si="19"/>
        <v/>
      </c>
      <c r="AG41" s="13" t="str">
        <f t="shared" si="33"/>
        <v/>
      </c>
    </row>
    <row r="42" spans="1:33">
      <c r="A42" s="71"/>
      <c r="B42" s="71"/>
      <c r="C42" s="94"/>
      <c r="D42" s="154"/>
      <c r="E42" s="64" t="str">
        <f>IF(D42="","",LOOKUP(D42,概要と通り!$G$24:$G$54,概要と通り!$H$24:$H$54))</f>
        <v/>
      </c>
      <c r="F42" s="154"/>
      <c r="G42" s="155"/>
      <c r="H42" s="64" t="str">
        <f t="shared" si="12"/>
        <v/>
      </c>
      <c r="I42" s="156"/>
      <c r="J42" s="64" t="str">
        <f t="shared" si="13"/>
        <v/>
      </c>
      <c r="K42" s="157"/>
      <c r="L42" s="64" t="str">
        <f t="shared" si="14"/>
        <v/>
      </c>
      <c r="M42" s="83" t="str">
        <f t="shared" si="30"/>
        <v/>
      </c>
      <c r="N42" s="68" t="str">
        <f>IF(M42="","",LOOKUP(D42,概要と通り!$G$24:$G$54,概要と通り!$J$24:$J$54))</f>
        <v/>
      </c>
      <c r="O42" s="13" t="str">
        <f t="shared" si="15"/>
        <v/>
      </c>
      <c r="P42" s="13" t="str">
        <f t="shared" si="31"/>
        <v/>
      </c>
      <c r="R42" s="71"/>
      <c r="S42" s="71"/>
      <c r="T42" s="94"/>
      <c r="U42" s="154"/>
      <c r="V42" s="64" t="str">
        <f>IF(U42="","",LOOKUP(U42,概要と通り!$A$24:$A$54,概要と通り!$B$24:$B$54))</f>
        <v/>
      </c>
      <c r="W42" s="154"/>
      <c r="X42" s="155"/>
      <c r="Y42" s="64" t="str">
        <f t="shared" si="16"/>
        <v/>
      </c>
      <c r="Z42" s="156"/>
      <c r="AA42" s="64" t="str">
        <f t="shared" si="17"/>
        <v/>
      </c>
      <c r="AB42" s="164"/>
      <c r="AC42" s="64" t="str">
        <f t="shared" si="18"/>
        <v/>
      </c>
      <c r="AD42" s="83" t="str">
        <f t="shared" si="32"/>
        <v/>
      </c>
      <c r="AE42" s="68" t="str">
        <f>IF(AD42="","",LOOKUP(U42,概要と通り!$A$24:$A$54,概要と通り!$D$24:$D$54))</f>
        <v/>
      </c>
      <c r="AF42" s="13" t="str">
        <f t="shared" si="19"/>
        <v/>
      </c>
      <c r="AG42" s="13" t="str">
        <f t="shared" si="33"/>
        <v/>
      </c>
    </row>
    <row r="43" spans="1:33">
      <c r="A43" s="71"/>
      <c r="B43" s="71"/>
      <c r="C43" s="94"/>
      <c r="D43" s="154"/>
      <c r="E43" s="64" t="str">
        <f>IF(D43="","",LOOKUP(D43,概要と通り!$G$24:$G$54,概要と通り!$H$24:$H$54))</f>
        <v/>
      </c>
      <c r="F43" s="154"/>
      <c r="G43" s="155"/>
      <c r="H43" s="64" t="str">
        <f t="shared" si="12"/>
        <v/>
      </c>
      <c r="I43" s="156"/>
      <c r="J43" s="64" t="str">
        <f t="shared" si="13"/>
        <v/>
      </c>
      <c r="K43" s="157"/>
      <c r="L43" s="64" t="str">
        <f t="shared" si="14"/>
        <v/>
      </c>
      <c r="M43" s="83" t="str">
        <f t="shared" si="30"/>
        <v/>
      </c>
      <c r="N43" s="68" t="str">
        <f>IF(M43="","",LOOKUP(D43,概要と通り!$G$24:$G$54,概要と通り!$J$24:$J$54))</f>
        <v/>
      </c>
      <c r="O43" s="13" t="str">
        <f t="shared" si="15"/>
        <v/>
      </c>
      <c r="P43" s="13" t="str">
        <f t="shared" si="31"/>
        <v/>
      </c>
      <c r="R43" s="71"/>
      <c r="S43" s="71"/>
      <c r="T43" s="94"/>
      <c r="U43" s="154"/>
      <c r="V43" s="64" t="str">
        <f>IF(U43="","",LOOKUP(U43,概要と通り!$A$24:$A$54,概要と通り!$B$24:$B$54))</f>
        <v/>
      </c>
      <c r="W43" s="154"/>
      <c r="X43" s="155"/>
      <c r="Y43" s="64" t="str">
        <f t="shared" si="16"/>
        <v/>
      </c>
      <c r="Z43" s="156"/>
      <c r="AA43" s="64" t="str">
        <f t="shared" si="17"/>
        <v/>
      </c>
      <c r="AB43" s="164"/>
      <c r="AC43" s="64" t="str">
        <f t="shared" si="18"/>
        <v/>
      </c>
      <c r="AD43" s="83" t="str">
        <f t="shared" si="32"/>
        <v/>
      </c>
      <c r="AE43" s="68" t="str">
        <f>IF(AD43="","",LOOKUP(U43,概要と通り!$A$24:$A$54,概要と通り!$D$24:$D$54))</f>
        <v/>
      </c>
      <c r="AF43" s="13" t="str">
        <f t="shared" si="19"/>
        <v/>
      </c>
      <c r="AG43" s="13" t="str">
        <f t="shared" si="33"/>
        <v/>
      </c>
    </row>
    <row r="44" spans="1:33">
      <c r="A44" s="71"/>
      <c r="B44" s="71"/>
      <c r="C44" s="94"/>
      <c r="D44" s="154"/>
      <c r="E44" s="64" t="str">
        <f>IF(D44="","",LOOKUP(D44,概要と通り!$G$24:$G$54,概要と通り!$H$24:$H$54))</f>
        <v/>
      </c>
      <c r="F44" s="154"/>
      <c r="G44" s="155"/>
      <c r="H44" s="64" t="str">
        <f t="shared" si="12"/>
        <v/>
      </c>
      <c r="I44" s="156"/>
      <c r="J44" s="64" t="str">
        <f t="shared" si="13"/>
        <v/>
      </c>
      <c r="K44" s="157"/>
      <c r="L44" s="64" t="str">
        <f t="shared" si="14"/>
        <v/>
      </c>
      <c r="M44" s="83" t="str">
        <f t="shared" si="30"/>
        <v/>
      </c>
      <c r="N44" s="68" t="str">
        <f>IF(M44="","",LOOKUP(D44,概要と通り!$G$24:$G$54,概要と通り!$J$24:$J$54))</f>
        <v/>
      </c>
      <c r="O44" s="13" t="str">
        <f t="shared" si="15"/>
        <v/>
      </c>
      <c r="P44" s="13" t="str">
        <f t="shared" si="31"/>
        <v/>
      </c>
      <c r="R44" s="71"/>
      <c r="S44" s="71"/>
      <c r="T44" s="94"/>
      <c r="U44" s="154"/>
      <c r="V44" s="64" t="str">
        <f>IF(U44="","",LOOKUP(U44,概要と通り!$A$24:$A$54,概要と通り!$B$24:$B$54))</f>
        <v/>
      </c>
      <c r="W44" s="154"/>
      <c r="X44" s="155"/>
      <c r="Y44" s="64" t="str">
        <f t="shared" si="16"/>
        <v/>
      </c>
      <c r="Z44" s="156"/>
      <c r="AA44" s="64" t="str">
        <f t="shared" si="17"/>
        <v/>
      </c>
      <c r="AB44" s="164"/>
      <c r="AC44" s="64" t="str">
        <f t="shared" si="18"/>
        <v/>
      </c>
      <c r="AD44" s="83" t="str">
        <f t="shared" si="32"/>
        <v/>
      </c>
      <c r="AE44" s="68" t="str">
        <f>IF(AD44="","",LOOKUP(U44,概要と通り!$A$24:$A$54,概要と通り!$D$24:$D$54))</f>
        <v/>
      </c>
      <c r="AF44" s="13" t="str">
        <f t="shared" si="19"/>
        <v/>
      </c>
      <c r="AG44" s="13" t="str">
        <f t="shared" si="33"/>
        <v/>
      </c>
    </row>
    <row r="45" spans="1:33">
      <c r="A45" s="71"/>
      <c r="B45" s="71"/>
      <c r="C45" s="94"/>
      <c r="D45" s="154"/>
      <c r="E45" s="64" t="str">
        <f>IF(D45="","",LOOKUP(D45,概要と通り!$G$24:$G$54,概要と通り!$H$24:$H$54))</f>
        <v/>
      </c>
      <c r="F45" s="154"/>
      <c r="G45" s="155"/>
      <c r="H45" s="64" t="str">
        <f t="shared" si="12"/>
        <v/>
      </c>
      <c r="I45" s="156"/>
      <c r="J45" s="64" t="str">
        <f t="shared" si="13"/>
        <v/>
      </c>
      <c r="K45" s="157"/>
      <c r="L45" s="64" t="str">
        <f t="shared" si="14"/>
        <v/>
      </c>
      <c r="M45" s="83" t="str">
        <f t="shared" si="30"/>
        <v/>
      </c>
      <c r="N45" s="68" t="str">
        <f>IF(M45="","",LOOKUP(D45,概要と通り!$G$24:$G$54,概要と通り!$J$24:$J$54))</f>
        <v/>
      </c>
      <c r="O45" s="13" t="str">
        <f t="shared" si="15"/>
        <v/>
      </c>
      <c r="P45" s="13" t="str">
        <f t="shared" si="31"/>
        <v/>
      </c>
      <c r="R45" s="71"/>
      <c r="S45" s="71"/>
      <c r="T45" s="94"/>
      <c r="U45" s="154"/>
      <c r="V45" s="64" t="str">
        <f>IF(U45="","",LOOKUP(U45,概要と通り!$A$24:$A$54,概要と通り!$B$24:$B$54))</f>
        <v/>
      </c>
      <c r="W45" s="154"/>
      <c r="X45" s="155"/>
      <c r="Y45" s="64" t="str">
        <f t="shared" si="16"/>
        <v/>
      </c>
      <c r="Z45" s="156"/>
      <c r="AA45" s="64" t="str">
        <f t="shared" si="17"/>
        <v/>
      </c>
      <c r="AB45" s="164"/>
      <c r="AC45" s="64" t="str">
        <f t="shared" si="18"/>
        <v/>
      </c>
      <c r="AD45" s="83" t="str">
        <f t="shared" si="32"/>
        <v/>
      </c>
      <c r="AE45" s="68" t="str">
        <f>IF(AD45="","",LOOKUP(U45,概要と通り!$A$24:$A$54,概要と通り!$D$24:$D$54))</f>
        <v/>
      </c>
      <c r="AF45" s="13" t="str">
        <f t="shared" si="19"/>
        <v/>
      </c>
      <c r="AG45" s="13" t="str">
        <f t="shared" si="33"/>
        <v/>
      </c>
    </row>
    <row r="46" spans="1:33">
      <c r="A46" s="71"/>
      <c r="B46" s="71"/>
      <c r="C46" s="94"/>
      <c r="D46" s="154"/>
      <c r="E46" s="64" t="str">
        <f>IF(D46="","",LOOKUP(D46,概要と通り!$G$24:$G$54,概要と通り!$H$24:$H$54))</f>
        <v/>
      </c>
      <c r="F46" s="154"/>
      <c r="G46" s="155"/>
      <c r="H46" s="64" t="str">
        <f t="shared" si="12"/>
        <v/>
      </c>
      <c r="I46" s="156"/>
      <c r="J46" s="64" t="str">
        <f t="shared" si="13"/>
        <v/>
      </c>
      <c r="K46" s="157"/>
      <c r="L46" s="64" t="str">
        <f t="shared" si="14"/>
        <v/>
      </c>
      <c r="M46" s="83" t="str">
        <f t="shared" si="30"/>
        <v/>
      </c>
      <c r="N46" s="68" t="str">
        <f>IF(M46="","",LOOKUP(D46,概要と通り!$G$24:$G$54,概要と通り!$J$24:$J$54))</f>
        <v/>
      </c>
      <c r="O46" s="13" t="str">
        <f t="shared" si="15"/>
        <v/>
      </c>
      <c r="P46" s="13" t="str">
        <f t="shared" si="31"/>
        <v/>
      </c>
      <c r="R46" s="71"/>
      <c r="S46" s="71"/>
      <c r="T46" s="94"/>
      <c r="U46" s="154"/>
      <c r="V46" s="64" t="str">
        <f>IF(U46="","",LOOKUP(U46,概要と通り!$A$24:$A$54,概要と通り!$B$24:$B$54))</f>
        <v/>
      </c>
      <c r="W46" s="154"/>
      <c r="X46" s="155"/>
      <c r="Y46" s="64" t="str">
        <f t="shared" si="16"/>
        <v/>
      </c>
      <c r="Z46" s="156"/>
      <c r="AA46" s="64" t="str">
        <f t="shared" si="17"/>
        <v/>
      </c>
      <c r="AB46" s="164"/>
      <c r="AC46" s="64" t="str">
        <f t="shared" si="18"/>
        <v/>
      </c>
      <c r="AD46" s="83" t="str">
        <f t="shared" si="32"/>
        <v/>
      </c>
      <c r="AE46" s="68" t="str">
        <f>IF(AD46="","",LOOKUP(U46,概要と通り!$A$24:$A$54,概要と通り!$D$24:$D$54))</f>
        <v/>
      </c>
      <c r="AF46" s="13" t="str">
        <f t="shared" si="19"/>
        <v/>
      </c>
      <c r="AG46" s="13" t="str">
        <f t="shared" si="33"/>
        <v/>
      </c>
    </row>
    <row r="47" spans="1:33">
      <c r="A47" s="71"/>
      <c r="B47" s="71"/>
      <c r="C47" s="94"/>
      <c r="D47" s="154"/>
      <c r="E47" s="64" t="str">
        <f>IF(D47="","",LOOKUP(D47,概要と通り!$G$24:$G$54,概要と通り!$H$24:$H$54))</f>
        <v/>
      </c>
      <c r="F47" s="154"/>
      <c r="G47" s="155"/>
      <c r="H47" s="64" t="str">
        <f t="shared" si="12"/>
        <v/>
      </c>
      <c r="I47" s="156"/>
      <c r="J47" s="64" t="str">
        <f t="shared" si="13"/>
        <v/>
      </c>
      <c r="K47" s="157"/>
      <c r="L47" s="64" t="str">
        <f t="shared" si="14"/>
        <v/>
      </c>
      <c r="M47" s="83" t="str">
        <f t="shared" si="30"/>
        <v/>
      </c>
      <c r="N47" s="68" t="str">
        <f>IF(M47="","",LOOKUP(D47,概要と通り!$G$24:$G$54,概要と通り!$J$24:$J$54))</f>
        <v/>
      </c>
      <c r="O47" s="13" t="str">
        <f t="shared" si="15"/>
        <v/>
      </c>
      <c r="P47" s="13" t="str">
        <f t="shared" si="31"/>
        <v/>
      </c>
      <c r="R47" s="71"/>
      <c r="S47" s="71"/>
      <c r="T47" s="94"/>
      <c r="U47" s="154"/>
      <c r="V47" s="64" t="str">
        <f>IF(U47="","",LOOKUP(U47,概要と通り!$A$24:$A$54,概要と通り!$B$24:$B$54))</f>
        <v/>
      </c>
      <c r="W47" s="154"/>
      <c r="X47" s="155"/>
      <c r="Y47" s="64" t="str">
        <f t="shared" si="16"/>
        <v/>
      </c>
      <c r="Z47" s="156"/>
      <c r="AA47" s="64" t="str">
        <f t="shared" si="17"/>
        <v/>
      </c>
      <c r="AB47" s="164"/>
      <c r="AC47" s="64" t="str">
        <f t="shared" si="18"/>
        <v/>
      </c>
      <c r="AD47" s="83" t="str">
        <f t="shared" si="32"/>
        <v/>
      </c>
      <c r="AE47" s="68" t="str">
        <f>IF(AD47="","",LOOKUP(U47,概要と通り!$A$24:$A$54,概要と通り!$D$24:$D$54))</f>
        <v/>
      </c>
      <c r="AF47" s="13" t="str">
        <f t="shared" si="19"/>
        <v/>
      </c>
      <c r="AG47" s="13" t="str">
        <f t="shared" si="33"/>
        <v/>
      </c>
    </row>
    <row r="48" spans="1:33">
      <c r="A48" s="71"/>
      <c r="B48" s="71"/>
      <c r="C48" s="94"/>
      <c r="D48" s="154"/>
      <c r="E48" s="64" t="str">
        <f>IF(D48="","",LOOKUP(D48,概要と通り!$G$24:$G$54,概要と通り!$H$24:$H$54))</f>
        <v/>
      </c>
      <c r="F48" s="154"/>
      <c r="G48" s="155"/>
      <c r="H48" s="64" t="str">
        <f t="shared" si="12"/>
        <v/>
      </c>
      <c r="I48" s="156"/>
      <c r="J48" s="64" t="str">
        <f t="shared" si="13"/>
        <v/>
      </c>
      <c r="K48" s="157"/>
      <c r="L48" s="64" t="str">
        <f t="shared" si="14"/>
        <v/>
      </c>
      <c r="M48" s="83" t="str">
        <f t="shared" si="30"/>
        <v/>
      </c>
      <c r="N48" s="68" t="str">
        <f>IF(M48="","",LOOKUP(D48,概要と通り!$G$24:$G$54,概要と通り!$J$24:$J$54))</f>
        <v/>
      </c>
      <c r="O48" s="13" t="str">
        <f t="shared" si="15"/>
        <v/>
      </c>
      <c r="P48" s="13" t="str">
        <f t="shared" si="31"/>
        <v/>
      </c>
      <c r="R48" s="71"/>
      <c r="S48" s="71"/>
      <c r="T48" s="94"/>
      <c r="U48" s="154"/>
      <c r="V48" s="64" t="str">
        <f>IF(U48="","",LOOKUP(U48,概要と通り!$A$24:$A$54,概要と通り!$B$24:$B$54))</f>
        <v/>
      </c>
      <c r="W48" s="154"/>
      <c r="X48" s="155"/>
      <c r="Y48" s="64" t="str">
        <f t="shared" si="16"/>
        <v/>
      </c>
      <c r="Z48" s="156"/>
      <c r="AA48" s="64" t="str">
        <f t="shared" si="17"/>
        <v/>
      </c>
      <c r="AB48" s="164"/>
      <c r="AC48" s="64" t="str">
        <f t="shared" si="18"/>
        <v/>
      </c>
      <c r="AD48" s="83" t="str">
        <f t="shared" si="32"/>
        <v/>
      </c>
      <c r="AE48" s="68" t="str">
        <f>IF(AD48="","",LOOKUP(U48,概要と通り!$A$24:$A$54,概要と通り!$D$24:$D$54))</f>
        <v/>
      </c>
      <c r="AF48" s="13" t="str">
        <f t="shared" si="19"/>
        <v/>
      </c>
      <c r="AG48" s="13" t="str">
        <f t="shared" si="33"/>
        <v/>
      </c>
    </row>
    <row r="49" spans="1:33">
      <c r="A49" s="71"/>
      <c r="B49" s="71"/>
      <c r="C49" s="94"/>
      <c r="D49" s="154"/>
      <c r="E49" s="64" t="str">
        <f>IF(D49="","",LOOKUP(D49,概要と通り!$G$24:$G$54,概要と通り!$H$24:$H$54))</f>
        <v/>
      </c>
      <c r="F49" s="154"/>
      <c r="G49" s="155"/>
      <c r="H49" s="64" t="str">
        <f t="shared" si="12"/>
        <v/>
      </c>
      <c r="I49" s="156"/>
      <c r="J49" s="64" t="str">
        <f t="shared" si="13"/>
        <v/>
      </c>
      <c r="K49" s="157"/>
      <c r="L49" s="64" t="str">
        <f t="shared" si="14"/>
        <v/>
      </c>
      <c r="M49" s="83" t="str">
        <f t="shared" si="30"/>
        <v/>
      </c>
      <c r="N49" s="68" t="str">
        <f>IF(M49="","",LOOKUP(D49,概要と通り!$G$24:$G$54,概要と通り!$J$24:$J$54))</f>
        <v/>
      </c>
      <c r="O49" s="13" t="str">
        <f t="shared" si="15"/>
        <v/>
      </c>
      <c r="P49" s="13" t="str">
        <f t="shared" si="31"/>
        <v/>
      </c>
      <c r="R49" s="71"/>
      <c r="S49" s="71"/>
      <c r="T49" s="94"/>
      <c r="U49" s="154"/>
      <c r="V49" s="64" t="str">
        <f>IF(U49="","",LOOKUP(U49,概要と通り!$A$24:$A$54,概要と通り!$B$24:$B$54))</f>
        <v/>
      </c>
      <c r="W49" s="154"/>
      <c r="X49" s="155"/>
      <c r="Y49" s="64" t="str">
        <f t="shared" si="16"/>
        <v/>
      </c>
      <c r="Z49" s="156"/>
      <c r="AA49" s="64" t="str">
        <f t="shared" si="17"/>
        <v/>
      </c>
      <c r="AB49" s="164"/>
      <c r="AC49" s="64" t="str">
        <f t="shared" si="18"/>
        <v/>
      </c>
      <c r="AD49" s="83" t="str">
        <f t="shared" si="32"/>
        <v/>
      </c>
      <c r="AE49" s="68" t="str">
        <f>IF(AD49="","",LOOKUP(U49,概要と通り!$A$24:$A$54,概要と通り!$D$24:$D$54))</f>
        <v/>
      </c>
      <c r="AF49" s="13" t="str">
        <f t="shared" si="19"/>
        <v/>
      </c>
      <c r="AG49" s="13" t="str">
        <f t="shared" si="33"/>
        <v/>
      </c>
    </row>
    <row r="50" spans="1:33">
      <c r="A50" s="71"/>
      <c r="B50" s="71"/>
      <c r="C50" s="94"/>
      <c r="D50" s="154"/>
      <c r="E50" s="64" t="str">
        <f>IF(D50="","",LOOKUP(D50,概要と通り!$G$24:$G$54,概要と通り!$H$24:$H$54))</f>
        <v/>
      </c>
      <c r="F50" s="154"/>
      <c r="G50" s="155"/>
      <c r="H50" s="64" t="str">
        <f t="shared" si="12"/>
        <v/>
      </c>
      <c r="I50" s="156"/>
      <c r="J50" s="64" t="str">
        <f t="shared" si="13"/>
        <v/>
      </c>
      <c r="K50" s="157"/>
      <c r="L50" s="64" t="str">
        <f t="shared" si="14"/>
        <v/>
      </c>
      <c r="M50" s="83" t="str">
        <f t="shared" si="30"/>
        <v/>
      </c>
      <c r="N50" s="68" t="str">
        <f>IF(M50="","",LOOKUP(D50,概要と通り!$G$24:$G$54,概要と通り!$J$24:$J$54))</f>
        <v/>
      </c>
      <c r="O50" s="13" t="str">
        <f t="shared" si="15"/>
        <v/>
      </c>
      <c r="P50" s="13" t="str">
        <f t="shared" si="31"/>
        <v/>
      </c>
      <c r="R50" s="71"/>
      <c r="S50" s="71"/>
      <c r="T50" s="94"/>
      <c r="U50" s="154"/>
      <c r="V50" s="64" t="str">
        <f>IF(U50="","",LOOKUP(U50,概要と通り!$A$24:$A$54,概要と通り!$B$24:$B$54))</f>
        <v/>
      </c>
      <c r="W50" s="154"/>
      <c r="X50" s="155"/>
      <c r="Y50" s="64" t="str">
        <f t="shared" si="16"/>
        <v/>
      </c>
      <c r="Z50" s="156"/>
      <c r="AA50" s="64" t="str">
        <f t="shared" si="17"/>
        <v/>
      </c>
      <c r="AB50" s="164"/>
      <c r="AC50" s="64" t="str">
        <f t="shared" si="18"/>
        <v/>
      </c>
      <c r="AD50" s="83" t="str">
        <f t="shared" si="32"/>
        <v/>
      </c>
      <c r="AE50" s="68" t="str">
        <f>IF(AD50="","",LOOKUP(U50,概要と通り!$A$24:$A$54,概要と通り!$D$24:$D$54))</f>
        <v/>
      </c>
      <c r="AF50" s="13" t="str">
        <f t="shared" si="19"/>
        <v/>
      </c>
      <c r="AG50" s="13" t="str">
        <f t="shared" si="33"/>
        <v/>
      </c>
    </row>
    <row r="51" spans="1:33">
      <c r="A51" s="71"/>
      <c r="B51" s="71"/>
      <c r="C51" s="94"/>
      <c r="D51" s="154"/>
      <c r="E51" s="64" t="str">
        <f>IF(D51="","",LOOKUP(D51,概要と通り!$G$24:$G$54,概要と通り!$H$24:$H$54))</f>
        <v/>
      </c>
      <c r="F51" s="154"/>
      <c r="G51" s="155"/>
      <c r="H51" s="64" t="str">
        <f t="shared" si="12"/>
        <v/>
      </c>
      <c r="I51" s="156"/>
      <c r="J51" s="64" t="str">
        <f t="shared" si="13"/>
        <v/>
      </c>
      <c r="K51" s="157"/>
      <c r="L51" s="64" t="str">
        <f t="shared" si="14"/>
        <v/>
      </c>
      <c r="M51" s="83" t="str">
        <f t="shared" si="30"/>
        <v/>
      </c>
      <c r="N51" s="68" t="str">
        <f>IF(M51="","",LOOKUP(D51,概要と通り!$G$24:$G$54,概要と通り!$J$24:$J$54))</f>
        <v/>
      </c>
      <c r="O51" s="13" t="str">
        <f t="shared" si="15"/>
        <v/>
      </c>
      <c r="P51" s="13" t="str">
        <f t="shared" si="31"/>
        <v/>
      </c>
      <c r="R51" s="71"/>
      <c r="S51" s="71"/>
      <c r="T51" s="94"/>
      <c r="U51" s="154"/>
      <c r="V51" s="64" t="str">
        <f>IF(U51="","",LOOKUP(U51,概要と通り!$A$24:$A$54,概要と通り!$B$24:$B$54))</f>
        <v/>
      </c>
      <c r="W51" s="154"/>
      <c r="X51" s="155"/>
      <c r="Y51" s="64" t="str">
        <f t="shared" si="16"/>
        <v/>
      </c>
      <c r="Z51" s="156"/>
      <c r="AA51" s="64" t="str">
        <f t="shared" si="17"/>
        <v/>
      </c>
      <c r="AB51" s="164"/>
      <c r="AC51" s="64" t="str">
        <f t="shared" si="18"/>
        <v/>
      </c>
      <c r="AD51" s="83" t="str">
        <f t="shared" si="32"/>
        <v/>
      </c>
      <c r="AE51" s="68" t="str">
        <f>IF(AD51="","",LOOKUP(U51,概要と通り!$A$24:$A$54,概要と通り!$D$24:$D$54))</f>
        <v/>
      </c>
      <c r="AF51" s="13" t="str">
        <f t="shared" si="19"/>
        <v/>
      </c>
      <c r="AG51" s="13" t="str">
        <f t="shared" si="33"/>
        <v/>
      </c>
    </row>
    <row r="52" spans="1:33">
      <c r="A52" s="71"/>
      <c r="B52" s="71"/>
      <c r="C52" s="94"/>
      <c r="D52" s="154"/>
      <c r="E52" s="64" t="str">
        <f>IF(D52="","",LOOKUP(D52,概要と通り!$G$24:$G$54,概要と通り!$H$24:$H$54))</f>
        <v/>
      </c>
      <c r="F52" s="154"/>
      <c r="G52" s="155"/>
      <c r="H52" s="64" t="str">
        <f t="shared" si="12"/>
        <v/>
      </c>
      <c r="I52" s="156"/>
      <c r="J52" s="64" t="str">
        <f t="shared" si="13"/>
        <v/>
      </c>
      <c r="K52" s="157"/>
      <c r="L52" s="64" t="str">
        <f t="shared" si="14"/>
        <v/>
      </c>
      <c r="M52" s="83" t="str">
        <f t="shared" si="30"/>
        <v/>
      </c>
      <c r="N52" s="68" t="str">
        <f>IF(M52="","",LOOKUP(D52,概要と通り!$G$24:$G$54,概要と通り!$J$24:$J$54))</f>
        <v/>
      </c>
      <c r="O52" s="13" t="str">
        <f t="shared" si="15"/>
        <v/>
      </c>
      <c r="P52" s="13" t="str">
        <f t="shared" si="31"/>
        <v/>
      </c>
      <c r="R52" s="71"/>
      <c r="S52" s="71"/>
      <c r="T52" s="94"/>
      <c r="U52" s="154"/>
      <c r="V52" s="64" t="str">
        <f>IF(U52="","",LOOKUP(U52,概要と通り!$A$24:$A$54,概要と通り!$B$24:$B$54))</f>
        <v/>
      </c>
      <c r="W52" s="154"/>
      <c r="X52" s="155"/>
      <c r="Y52" s="64" t="str">
        <f t="shared" si="16"/>
        <v/>
      </c>
      <c r="Z52" s="156"/>
      <c r="AA52" s="64" t="str">
        <f t="shared" si="17"/>
        <v/>
      </c>
      <c r="AB52" s="164"/>
      <c r="AC52" s="64" t="str">
        <f t="shared" si="18"/>
        <v/>
      </c>
      <c r="AD52" s="83" t="str">
        <f t="shared" si="32"/>
        <v/>
      </c>
      <c r="AE52" s="68" t="str">
        <f>IF(AD52="","",LOOKUP(U52,概要と通り!$A$24:$A$54,概要と通り!$D$24:$D$54))</f>
        <v/>
      </c>
      <c r="AF52" s="13" t="str">
        <f t="shared" si="19"/>
        <v/>
      </c>
      <c r="AG52" s="13" t="str">
        <f t="shared" si="33"/>
        <v/>
      </c>
    </row>
    <row r="53" spans="1:33">
      <c r="A53" s="71"/>
      <c r="B53" s="71"/>
      <c r="C53" s="94"/>
      <c r="D53" s="154"/>
      <c r="E53" s="64" t="str">
        <f>IF(D53="","",LOOKUP(D53,概要と通り!$G$24:$G$54,概要と通り!$H$24:$H$54))</f>
        <v/>
      </c>
      <c r="F53" s="154"/>
      <c r="G53" s="155"/>
      <c r="H53" s="64" t="str">
        <f t="shared" si="12"/>
        <v/>
      </c>
      <c r="I53" s="156"/>
      <c r="J53" s="64" t="str">
        <f t="shared" si="13"/>
        <v/>
      </c>
      <c r="K53" s="157"/>
      <c r="L53" s="64" t="str">
        <f t="shared" si="14"/>
        <v/>
      </c>
      <c r="M53" s="83" t="str">
        <f t="shared" si="30"/>
        <v/>
      </c>
      <c r="N53" s="68" t="str">
        <f>IF(M53="","",LOOKUP(D53,概要と通り!$G$24:$G$54,概要と通り!$J$24:$J$54))</f>
        <v/>
      </c>
      <c r="O53" s="13" t="str">
        <f t="shared" si="15"/>
        <v/>
      </c>
      <c r="P53" s="13" t="str">
        <f t="shared" si="31"/>
        <v/>
      </c>
      <c r="R53" s="71"/>
      <c r="S53" s="71"/>
      <c r="T53" s="94"/>
      <c r="U53" s="154"/>
      <c r="V53" s="64" t="str">
        <f>IF(U53="","",LOOKUP(U53,概要と通り!$A$24:$A$54,概要と通り!$B$24:$B$54))</f>
        <v/>
      </c>
      <c r="W53" s="154"/>
      <c r="X53" s="155"/>
      <c r="Y53" s="64" t="str">
        <f t="shared" si="16"/>
        <v/>
      </c>
      <c r="Z53" s="156"/>
      <c r="AA53" s="64" t="str">
        <f t="shared" si="17"/>
        <v/>
      </c>
      <c r="AB53" s="164"/>
      <c r="AC53" s="64" t="str">
        <f t="shared" si="18"/>
        <v/>
      </c>
      <c r="AD53" s="83" t="str">
        <f t="shared" si="32"/>
        <v/>
      </c>
      <c r="AE53" s="68" t="str">
        <f>IF(AD53="","",LOOKUP(U53,概要と通り!$A$24:$A$54,概要と通り!$D$24:$D$54))</f>
        <v/>
      </c>
      <c r="AF53" s="13" t="str">
        <f t="shared" si="19"/>
        <v/>
      </c>
      <c r="AG53" s="13" t="str">
        <f t="shared" si="33"/>
        <v/>
      </c>
    </row>
    <row r="54" spans="1:33">
      <c r="A54" s="71"/>
      <c r="B54" s="71"/>
      <c r="C54" s="94"/>
      <c r="D54" s="154"/>
      <c r="E54" s="64" t="str">
        <f>IF(D54="","",LOOKUP(D54,概要と通り!$G$24:$G$54,概要と通り!$H$24:$H$54))</f>
        <v/>
      </c>
      <c r="F54" s="154"/>
      <c r="G54" s="155"/>
      <c r="H54" s="64" t="str">
        <f t="shared" si="12"/>
        <v/>
      </c>
      <c r="I54" s="156"/>
      <c r="J54" s="64" t="str">
        <f t="shared" si="13"/>
        <v/>
      </c>
      <c r="K54" s="157"/>
      <c r="L54" s="64" t="str">
        <f t="shared" si="14"/>
        <v/>
      </c>
      <c r="M54" s="83" t="str">
        <f t="shared" si="30"/>
        <v/>
      </c>
      <c r="N54" s="68" t="str">
        <f>IF(M54="","",LOOKUP(D54,概要と通り!$G$24:$G$54,概要と通り!$J$24:$J$54))</f>
        <v/>
      </c>
      <c r="O54" s="13" t="str">
        <f t="shared" si="15"/>
        <v/>
      </c>
      <c r="P54" s="13" t="str">
        <f t="shared" si="31"/>
        <v/>
      </c>
      <c r="R54" s="71"/>
      <c r="S54" s="71"/>
      <c r="T54" s="94"/>
      <c r="U54" s="154"/>
      <c r="V54" s="64" t="str">
        <f>IF(U54="","",LOOKUP(U54,概要と通り!$A$24:$A$54,概要と通り!$B$24:$B$54))</f>
        <v/>
      </c>
      <c r="W54" s="154"/>
      <c r="X54" s="155"/>
      <c r="Y54" s="64" t="str">
        <f t="shared" si="16"/>
        <v/>
      </c>
      <c r="Z54" s="156"/>
      <c r="AA54" s="64" t="str">
        <f t="shared" si="17"/>
        <v/>
      </c>
      <c r="AB54" s="164"/>
      <c r="AC54" s="64" t="str">
        <f t="shared" si="18"/>
        <v/>
      </c>
      <c r="AD54" s="83" t="str">
        <f t="shared" si="32"/>
        <v/>
      </c>
      <c r="AE54" s="68" t="str">
        <f>IF(AD54="","",LOOKUP(U54,概要と通り!$A$24:$A$54,概要と通り!$D$24:$D$54))</f>
        <v/>
      </c>
      <c r="AF54" s="13" t="str">
        <f t="shared" si="19"/>
        <v/>
      </c>
      <c r="AG54" s="13" t="str">
        <f t="shared" si="33"/>
        <v/>
      </c>
    </row>
    <row r="55" spans="1:33">
      <c r="A55" s="71"/>
      <c r="B55" s="71"/>
      <c r="C55" s="94"/>
      <c r="D55" s="154"/>
      <c r="E55" s="64" t="str">
        <f>IF(D55="","",LOOKUP(D55,概要と通り!$G$24:$G$54,概要と通り!$H$24:$H$54))</f>
        <v/>
      </c>
      <c r="F55" s="154"/>
      <c r="G55" s="155"/>
      <c r="H55" s="64" t="str">
        <f t="shared" si="12"/>
        <v/>
      </c>
      <c r="I55" s="156"/>
      <c r="J55" s="64" t="str">
        <f t="shared" si="13"/>
        <v/>
      </c>
      <c r="K55" s="157"/>
      <c r="L55" s="64" t="str">
        <f t="shared" si="14"/>
        <v/>
      </c>
      <c r="M55" s="83" t="str">
        <f t="shared" si="30"/>
        <v/>
      </c>
      <c r="N55" s="68" t="str">
        <f>IF(M55="","",LOOKUP(D55,概要と通り!$G$24:$G$54,概要と通り!$J$24:$J$54))</f>
        <v/>
      </c>
      <c r="O55" s="13" t="str">
        <f t="shared" si="15"/>
        <v/>
      </c>
      <c r="P55" s="13" t="str">
        <f t="shared" si="31"/>
        <v/>
      </c>
      <c r="R55" s="71"/>
      <c r="S55" s="71"/>
      <c r="T55" s="94"/>
      <c r="U55" s="154"/>
      <c r="V55" s="64" t="str">
        <f>IF(U55="","",LOOKUP(U55,概要と通り!$A$24:$A$54,概要と通り!$B$24:$B$54))</f>
        <v/>
      </c>
      <c r="W55" s="154"/>
      <c r="X55" s="155"/>
      <c r="Y55" s="64" t="str">
        <f t="shared" si="16"/>
        <v/>
      </c>
      <c r="Z55" s="156"/>
      <c r="AA55" s="64" t="str">
        <f t="shared" si="17"/>
        <v/>
      </c>
      <c r="AB55" s="164"/>
      <c r="AC55" s="64" t="str">
        <f t="shared" si="18"/>
        <v/>
      </c>
      <c r="AD55" s="83" t="str">
        <f t="shared" si="32"/>
        <v/>
      </c>
      <c r="AE55" s="68" t="str">
        <f>IF(AD55="","",LOOKUP(U55,概要と通り!$A$24:$A$54,概要と通り!$D$24:$D$54))</f>
        <v/>
      </c>
      <c r="AF55" s="13" t="str">
        <f t="shared" si="19"/>
        <v/>
      </c>
      <c r="AG55" s="13" t="str">
        <f t="shared" si="33"/>
        <v/>
      </c>
    </row>
    <row r="56" spans="1:33">
      <c r="A56" s="71"/>
      <c r="B56" s="71"/>
      <c r="C56" s="94"/>
      <c r="D56" s="154"/>
      <c r="E56" s="64" t="str">
        <f>IF(D56="","",LOOKUP(D56,概要と通り!$G$24:$G$54,概要と通り!$H$24:$H$54))</f>
        <v/>
      </c>
      <c r="F56" s="154"/>
      <c r="G56" s="155"/>
      <c r="H56" s="64" t="str">
        <f t="shared" si="12"/>
        <v/>
      </c>
      <c r="I56" s="156"/>
      <c r="J56" s="64" t="str">
        <f t="shared" si="13"/>
        <v/>
      </c>
      <c r="K56" s="157"/>
      <c r="L56" s="64" t="str">
        <f t="shared" si="14"/>
        <v/>
      </c>
      <c r="M56" s="83" t="str">
        <f t="shared" si="30"/>
        <v/>
      </c>
      <c r="N56" s="68" t="str">
        <f>IF(M56="","",LOOKUP(D56,概要と通り!$G$24:$G$54,概要と通り!$J$24:$J$54))</f>
        <v/>
      </c>
      <c r="O56" s="13" t="str">
        <f t="shared" si="15"/>
        <v/>
      </c>
      <c r="P56" s="13" t="str">
        <f t="shared" si="31"/>
        <v/>
      </c>
      <c r="R56" s="71"/>
      <c r="S56" s="71"/>
      <c r="T56" s="94"/>
      <c r="U56" s="154"/>
      <c r="V56" s="64" t="str">
        <f>IF(U56="","",LOOKUP(U56,概要と通り!$A$24:$A$54,概要と通り!$B$24:$B$54))</f>
        <v/>
      </c>
      <c r="W56" s="154"/>
      <c r="X56" s="155"/>
      <c r="Y56" s="64" t="str">
        <f t="shared" si="16"/>
        <v/>
      </c>
      <c r="Z56" s="156"/>
      <c r="AA56" s="64" t="str">
        <f t="shared" si="17"/>
        <v/>
      </c>
      <c r="AB56" s="164"/>
      <c r="AC56" s="64" t="str">
        <f t="shared" si="18"/>
        <v/>
      </c>
      <c r="AD56" s="83" t="str">
        <f t="shared" si="32"/>
        <v/>
      </c>
      <c r="AE56" s="68" t="str">
        <f>IF(AD56="","",LOOKUP(U56,概要と通り!$A$24:$A$54,概要と通り!$D$24:$D$54))</f>
        <v/>
      </c>
      <c r="AF56" s="13" t="str">
        <f t="shared" si="19"/>
        <v/>
      </c>
      <c r="AG56" s="13" t="str">
        <f t="shared" si="33"/>
        <v/>
      </c>
    </row>
    <row r="57" spans="1:33">
      <c r="A57" s="71"/>
      <c r="B57" s="71"/>
      <c r="C57" s="94"/>
      <c r="D57" s="154"/>
      <c r="E57" s="64" t="str">
        <f>IF(D57="","",LOOKUP(D57,概要と通り!$G$24:$G$54,概要と通り!$H$24:$H$54))</f>
        <v/>
      </c>
      <c r="F57" s="154"/>
      <c r="G57" s="155"/>
      <c r="H57" s="64" t="str">
        <f t="shared" si="12"/>
        <v/>
      </c>
      <c r="I57" s="156"/>
      <c r="J57" s="64" t="str">
        <f t="shared" si="13"/>
        <v/>
      </c>
      <c r="K57" s="157"/>
      <c r="L57" s="64" t="str">
        <f t="shared" si="14"/>
        <v/>
      </c>
      <c r="M57" s="83" t="str">
        <f t="shared" si="30"/>
        <v/>
      </c>
      <c r="N57" s="68" t="str">
        <f>IF(M57="","",LOOKUP(D57,概要と通り!$G$24:$G$54,概要と通り!$J$24:$J$54))</f>
        <v/>
      </c>
      <c r="O57" s="13" t="str">
        <f t="shared" si="15"/>
        <v/>
      </c>
      <c r="P57" s="13" t="str">
        <f t="shared" si="31"/>
        <v/>
      </c>
      <c r="R57" s="71"/>
      <c r="S57" s="71"/>
      <c r="T57" s="94"/>
      <c r="U57" s="154"/>
      <c r="V57" s="64" t="str">
        <f>IF(U57="","",LOOKUP(U57,概要と通り!$A$24:$A$54,概要と通り!$B$24:$B$54))</f>
        <v/>
      </c>
      <c r="W57" s="154"/>
      <c r="X57" s="155"/>
      <c r="Y57" s="64" t="str">
        <f t="shared" si="16"/>
        <v/>
      </c>
      <c r="Z57" s="156"/>
      <c r="AA57" s="64" t="str">
        <f t="shared" si="17"/>
        <v/>
      </c>
      <c r="AB57" s="164"/>
      <c r="AC57" s="64" t="str">
        <f t="shared" si="18"/>
        <v/>
      </c>
      <c r="AD57" s="83" t="str">
        <f t="shared" si="32"/>
        <v/>
      </c>
      <c r="AE57" s="68" t="str">
        <f>IF(AD57="","",LOOKUP(U57,概要と通り!$A$24:$A$54,概要と通り!$D$24:$D$54))</f>
        <v/>
      </c>
      <c r="AF57" s="13" t="str">
        <f t="shared" si="19"/>
        <v/>
      </c>
      <c r="AG57" s="13" t="str">
        <f t="shared" si="33"/>
        <v/>
      </c>
    </row>
    <row r="58" spans="1:33">
      <c r="A58" s="71"/>
      <c r="B58" s="71"/>
      <c r="C58" s="94"/>
      <c r="D58" s="154"/>
      <c r="E58" s="64" t="str">
        <f>IF(D58="","",LOOKUP(D58,概要と通り!$G$24:$G$54,概要と通り!$H$24:$H$54))</f>
        <v/>
      </c>
      <c r="F58" s="154"/>
      <c r="G58" s="155"/>
      <c r="H58" s="64" t="str">
        <f t="shared" si="12"/>
        <v/>
      </c>
      <c r="I58" s="156"/>
      <c r="J58" s="64" t="str">
        <f t="shared" si="13"/>
        <v/>
      </c>
      <c r="K58" s="157"/>
      <c r="L58" s="64" t="str">
        <f t="shared" si="14"/>
        <v/>
      </c>
      <c r="M58" s="83" t="str">
        <f t="shared" si="30"/>
        <v/>
      </c>
      <c r="N58" s="68" t="str">
        <f>IF(M58="","",LOOKUP(D58,概要と通り!$G$24:$G$54,概要と通り!$J$24:$J$54))</f>
        <v/>
      </c>
      <c r="O58" s="13" t="str">
        <f t="shared" si="15"/>
        <v/>
      </c>
      <c r="P58" s="13" t="str">
        <f t="shared" si="31"/>
        <v/>
      </c>
      <c r="R58" s="71"/>
      <c r="S58" s="71"/>
      <c r="T58" s="94"/>
      <c r="U58" s="154"/>
      <c r="V58" s="64" t="str">
        <f>IF(U58="","",LOOKUP(U58,概要と通り!$A$24:$A$54,概要と通り!$B$24:$B$54))</f>
        <v/>
      </c>
      <c r="W58" s="154"/>
      <c r="X58" s="155"/>
      <c r="Y58" s="64" t="str">
        <f t="shared" si="16"/>
        <v/>
      </c>
      <c r="Z58" s="156"/>
      <c r="AA58" s="64" t="str">
        <f t="shared" si="17"/>
        <v/>
      </c>
      <c r="AB58" s="164"/>
      <c r="AC58" s="64" t="str">
        <f t="shared" si="18"/>
        <v/>
      </c>
      <c r="AD58" s="83" t="str">
        <f t="shared" si="32"/>
        <v/>
      </c>
      <c r="AE58" s="68" t="str">
        <f>IF(AD58="","",LOOKUP(U58,概要と通り!$A$24:$A$54,概要と通り!$D$24:$D$54))</f>
        <v/>
      </c>
      <c r="AF58" s="13" t="str">
        <f t="shared" si="19"/>
        <v/>
      </c>
      <c r="AG58" s="13" t="str">
        <f t="shared" si="33"/>
        <v/>
      </c>
    </row>
    <row r="59" spans="1:33">
      <c r="A59" s="72"/>
      <c r="B59" s="72"/>
      <c r="C59" s="95"/>
      <c r="D59" s="80"/>
      <c r="E59" s="64" t="str">
        <f>IF(D59="","",LOOKUP(D59,概要と通り!$G$24:$G$54,概要と通り!$H$24:$H$54))</f>
        <v/>
      </c>
      <c r="F59" s="80"/>
      <c r="G59" s="81"/>
      <c r="H59" s="63" t="str">
        <f t="shared" si="12"/>
        <v/>
      </c>
      <c r="I59" s="100"/>
      <c r="J59" s="63" t="str">
        <f t="shared" si="13"/>
        <v/>
      </c>
      <c r="K59" s="82"/>
      <c r="L59" s="63" t="str">
        <f t="shared" si="14"/>
        <v/>
      </c>
      <c r="M59" s="83" t="str">
        <f t="shared" si="30"/>
        <v/>
      </c>
      <c r="N59" s="68" t="str">
        <f>IF(M59="","",LOOKUP(D59,概要と通り!$G$24:$G$54,概要と通り!$J$24:$J$54))</f>
        <v/>
      </c>
      <c r="O59" s="13" t="str">
        <f t="shared" si="15"/>
        <v/>
      </c>
      <c r="P59" s="13" t="str">
        <f t="shared" si="31"/>
        <v/>
      </c>
      <c r="R59" s="72"/>
      <c r="S59" s="72"/>
      <c r="T59" s="95"/>
      <c r="U59" s="154"/>
      <c r="V59" s="64" t="str">
        <f>IF(U59="","",LOOKUP(U59,概要と通り!$A$24:$A$54,概要と通り!$B$24:$B$54))</f>
        <v/>
      </c>
      <c r="W59" s="154"/>
      <c r="X59" s="155"/>
      <c r="Y59" s="64" t="str">
        <f t="shared" si="16"/>
        <v/>
      </c>
      <c r="Z59" s="156"/>
      <c r="AA59" s="64" t="str">
        <f t="shared" si="17"/>
        <v/>
      </c>
      <c r="AB59" s="164"/>
      <c r="AC59" s="64" t="str">
        <f t="shared" si="18"/>
        <v/>
      </c>
      <c r="AD59" s="83" t="str">
        <f t="shared" si="32"/>
        <v/>
      </c>
      <c r="AE59" s="68" t="str">
        <f>IF(AD59="","",LOOKUP(U59,概要と通り!$A$24:$A$54,概要と通り!$D$24:$D$54))</f>
        <v/>
      </c>
      <c r="AF59" s="13" t="str">
        <f t="shared" si="19"/>
        <v/>
      </c>
      <c r="AG59" s="13" t="str">
        <f t="shared" si="33"/>
        <v/>
      </c>
    </row>
    <row r="60" spans="1:33">
      <c r="K60" s="73" t="s">
        <v>203</v>
      </c>
      <c r="L60" s="75"/>
      <c r="M60" s="83">
        <f>SUM(M5:M59)</f>
        <v>0</v>
      </c>
      <c r="N60" s="163"/>
      <c r="O60" s="13">
        <f>SUM(O5:O59)</f>
        <v>0</v>
      </c>
      <c r="P60" s="13">
        <f>SUM(P5:P59)</f>
        <v>0</v>
      </c>
      <c r="AB60" s="73" t="s">
        <v>203</v>
      </c>
      <c r="AC60" s="75"/>
      <c r="AD60" s="83">
        <f>SUM(AD5:AD59)</f>
        <v>0</v>
      </c>
      <c r="AE60" s="163"/>
      <c r="AF60" s="13">
        <f>SUM(AF5:AF59)</f>
        <v>0</v>
      </c>
      <c r="AG60" s="13">
        <f>SUM(AG5:AG59)</f>
        <v>0</v>
      </c>
    </row>
    <row r="61" spans="1:33" ht="8.25" customHeight="1"/>
    <row r="62" spans="1:33" ht="13.5" customHeight="1">
      <c r="A62" s="85" t="s">
        <v>237</v>
      </c>
      <c r="B62" s="119"/>
      <c r="C62" s="119"/>
      <c r="D62" s="119"/>
      <c r="E62" s="119"/>
      <c r="F62" s="119"/>
      <c r="G62" s="119"/>
      <c r="H62" s="119"/>
      <c r="I62" s="119"/>
      <c r="J62" s="119"/>
      <c r="K62" s="86"/>
      <c r="M62" s="192" t="s">
        <v>83</v>
      </c>
      <c r="N62" s="193"/>
      <c r="O62" s="151" t="s">
        <v>84</v>
      </c>
      <c r="P62" s="152">
        <f>重心!L24</f>
        <v>0</v>
      </c>
      <c r="R62" s="85" t="s">
        <v>237</v>
      </c>
      <c r="S62" s="119"/>
      <c r="T62" s="119"/>
      <c r="U62" s="119"/>
      <c r="V62" s="119"/>
      <c r="W62" s="119"/>
      <c r="X62" s="119"/>
      <c r="Y62" s="119"/>
      <c r="Z62" s="119"/>
      <c r="AA62" s="119"/>
      <c r="AB62" s="86"/>
      <c r="AD62" s="192" t="s">
        <v>83</v>
      </c>
      <c r="AE62" s="193"/>
      <c r="AF62" s="151" t="s">
        <v>192</v>
      </c>
      <c r="AG62" s="152">
        <f>重心!M24</f>
        <v>0</v>
      </c>
    </row>
    <row r="63" spans="1:33" ht="13.5" customHeight="1">
      <c r="A63" s="87"/>
      <c r="B63" s="120"/>
      <c r="C63" s="120"/>
      <c r="D63" s="120"/>
      <c r="E63" s="120"/>
      <c r="F63" s="120"/>
      <c r="G63" s="120"/>
      <c r="H63" s="120"/>
      <c r="I63" s="120"/>
      <c r="J63" s="120"/>
      <c r="K63" s="88"/>
      <c r="M63" s="194" t="s">
        <v>81</v>
      </c>
      <c r="N63" s="195"/>
      <c r="O63" s="153" t="s">
        <v>75</v>
      </c>
      <c r="P63" s="140">
        <f>IF(M60=0,0,O60/M60)</f>
        <v>0</v>
      </c>
      <c r="R63" s="87"/>
      <c r="S63" s="120"/>
      <c r="T63" s="120"/>
      <c r="U63" s="120"/>
      <c r="V63" s="120"/>
      <c r="W63" s="120"/>
      <c r="X63" s="120"/>
      <c r="Y63" s="120"/>
      <c r="Z63" s="120"/>
      <c r="AA63" s="120"/>
      <c r="AB63" s="88"/>
      <c r="AD63" s="194" t="s">
        <v>81</v>
      </c>
      <c r="AE63" s="195"/>
      <c r="AF63" s="153" t="s">
        <v>191</v>
      </c>
      <c r="AG63" s="140">
        <f>IF(AD60=0,0,AF60/AD60)</f>
        <v>0</v>
      </c>
    </row>
    <row r="64" spans="1:33" ht="13.5" customHeight="1">
      <c r="A64" s="87"/>
      <c r="B64" s="120"/>
      <c r="C64" s="120"/>
      <c r="D64" s="120"/>
      <c r="E64" s="120"/>
      <c r="F64" s="120"/>
      <c r="G64" s="120"/>
      <c r="H64" s="120"/>
      <c r="I64" s="120"/>
      <c r="J64" s="120"/>
      <c r="K64" s="88"/>
      <c r="M64" s="194" t="s">
        <v>82</v>
      </c>
      <c r="N64" s="195"/>
      <c r="O64" s="89" t="s">
        <v>219</v>
      </c>
      <c r="P64" s="140">
        <f>ABS(P63-P62)</f>
        <v>0</v>
      </c>
      <c r="R64" s="87"/>
      <c r="S64" s="120"/>
      <c r="T64" s="120"/>
      <c r="U64" s="120"/>
      <c r="V64" s="120"/>
      <c r="W64" s="120"/>
      <c r="X64" s="120"/>
      <c r="Y64" s="120"/>
      <c r="Z64" s="120"/>
      <c r="AA64" s="120"/>
      <c r="AB64" s="88"/>
      <c r="AD64" s="194" t="s">
        <v>82</v>
      </c>
      <c r="AE64" s="195"/>
      <c r="AF64" s="89" t="s">
        <v>220</v>
      </c>
      <c r="AG64" s="140">
        <f>ABS(AG63-AG62)</f>
        <v>0</v>
      </c>
    </row>
    <row r="65" spans="1:33" ht="13.5" customHeight="1">
      <c r="A65" s="87"/>
      <c r="B65" s="120"/>
      <c r="C65" s="120"/>
      <c r="D65" s="120"/>
      <c r="E65" s="120"/>
      <c r="F65" s="120"/>
      <c r="G65" s="120"/>
      <c r="H65" s="120"/>
      <c r="I65" s="120"/>
      <c r="J65" s="120"/>
      <c r="K65" s="88"/>
      <c r="M65" s="194" t="s">
        <v>85</v>
      </c>
      <c r="N65" s="195"/>
      <c r="O65" s="89" t="s">
        <v>86</v>
      </c>
      <c r="P65" s="140">
        <f>IF(M60=0,0,SQRT(($P$60+$AG$60)/M60))</f>
        <v>0</v>
      </c>
      <c r="R65" s="87"/>
      <c r="S65" s="120"/>
      <c r="T65" s="120"/>
      <c r="U65" s="120"/>
      <c r="V65" s="120"/>
      <c r="W65" s="120"/>
      <c r="X65" s="120"/>
      <c r="Y65" s="120"/>
      <c r="Z65" s="120"/>
      <c r="AA65" s="120"/>
      <c r="AB65" s="88"/>
      <c r="AD65" s="194" t="s">
        <v>85</v>
      </c>
      <c r="AE65" s="195"/>
      <c r="AF65" s="89" t="s">
        <v>149</v>
      </c>
      <c r="AG65" s="140">
        <f>IF(AD60=0,0,SQRT(($P$60+$AG$60)/AD60))</f>
        <v>0</v>
      </c>
    </row>
    <row r="66" spans="1:33" ht="13.5" customHeight="1">
      <c r="A66" s="90"/>
      <c r="B66" s="121"/>
      <c r="C66" s="121"/>
      <c r="D66" s="121"/>
      <c r="E66" s="121"/>
      <c r="F66" s="121"/>
      <c r="G66" s="121"/>
      <c r="H66" s="121"/>
      <c r="I66" s="121"/>
      <c r="J66" s="121"/>
      <c r="K66" s="91"/>
      <c r="M66" s="196" t="s">
        <v>87</v>
      </c>
      <c r="N66" s="197"/>
      <c r="O66" s="92" t="s">
        <v>88</v>
      </c>
      <c r="P66" s="141">
        <f>IF(M60=0,0,P64/P65)</f>
        <v>0</v>
      </c>
      <c r="R66" s="90"/>
      <c r="S66" s="121"/>
      <c r="T66" s="121"/>
      <c r="U66" s="121"/>
      <c r="V66" s="121"/>
      <c r="W66" s="121"/>
      <c r="X66" s="121"/>
      <c r="Y66" s="121"/>
      <c r="Z66" s="121"/>
      <c r="AA66" s="121"/>
      <c r="AB66" s="91"/>
      <c r="AD66" s="196" t="s">
        <v>87</v>
      </c>
      <c r="AE66" s="197"/>
      <c r="AF66" s="92" t="s">
        <v>150</v>
      </c>
      <c r="AG66" s="141">
        <f>IF(AD60=0,0,AG64/AG65)</f>
        <v>0</v>
      </c>
    </row>
  </sheetData>
  <sheetProtection password="C93A" sheet="1" objects="1" scenarios="1"/>
  <protectedRanges>
    <protectedRange sqref="A62:K66 R62:AB66" name="範囲2"/>
    <protectedRange sqref="C5:D59 F5:G59 I5:I59 K5:K59 T5:U59 W5:X59 Z5:Z59 AB5:AB59" name="範囲1"/>
  </protectedRanges>
  <mergeCells count="10">
    <mergeCell ref="M62:N62"/>
    <mergeCell ref="M63:N63"/>
    <mergeCell ref="M64:N64"/>
    <mergeCell ref="M65:N65"/>
    <mergeCell ref="M66:N66"/>
    <mergeCell ref="AD62:AE62"/>
    <mergeCell ref="AD63:AE63"/>
    <mergeCell ref="AD64:AE64"/>
    <mergeCell ref="AD65:AE65"/>
    <mergeCell ref="AD66:AE66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blackAndWhite="1" r:id="rId1"/>
  <headerFooter>
    <oddHeader>&amp;L&amp;"ＭＳ 明朝,斜体"&amp;9各階の床面積を考慮した必要耐力の算出法【精算法】Ver1.00　　　P.&amp;P&amp;R&amp;"ＭＳ 明朝,斜体"&amp;9&amp;D   &amp;T</oddHeader>
    <oddFooter>&amp;R&amp;10石川県建築士事務所協会</oddFooter>
  </headerFooter>
  <colBreaks count="1" manualBreakCount="1">
    <brk id="16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G66"/>
  <sheetViews>
    <sheetView view="pageBreakPreview" zoomScaleNormal="100" zoomScaleSheetLayoutView="100" workbookViewId="0">
      <pane ySplit="4" topLeftCell="A5" activePane="bottomLeft" state="frozen"/>
      <selection pane="bottomLeft" activeCell="G46" sqref="G46"/>
    </sheetView>
  </sheetViews>
  <sheetFormatPr defaultRowHeight="12"/>
  <cols>
    <col min="1" max="1" width="2.875" style="8" customWidth="1"/>
    <col min="2" max="2" width="3.625" style="8" customWidth="1"/>
    <col min="3" max="3" width="4.25" style="8" customWidth="1"/>
    <col min="4" max="4" width="5" style="8" customWidth="1"/>
    <col min="5" max="5" width="6.875" style="8" customWidth="1"/>
    <col min="6" max="6" width="5.625" style="8" customWidth="1"/>
    <col min="7" max="7" width="6.625" style="8" customWidth="1"/>
    <col min="8" max="8" width="2.125" style="8" customWidth="1"/>
    <col min="9" max="9" width="6.625" style="8" customWidth="1"/>
    <col min="10" max="10" width="2.125" style="8" customWidth="1"/>
    <col min="11" max="11" width="6.75" style="8" customWidth="1"/>
    <col min="12" max="12" width="2.125" style="8" customWidth="1"/>
    <col min="13" max="13" width="8.625" style="8" customWidth="1"/>
    <col min="14" max="14" width="9.125" style="8" customWidth="1"/>
    <col min="15" max="16" width="8.625" style="8" customWidth="1"/>
    <col min="17" max="17" width="1" style="8" customWidth="1"/>
    <col min="18" max="18" width="3.75" style="8" customWidth="1"/>
    <col min="19" max="19" width="3.875" style="8" customWidth="1"/>
    <col min="20" max="20" width="3.75" style="8" customWidth="1"/>
    <col min="21" max="21" width="4.625" style="8" customWidth="1"/>
    <col min="22" max="22" width="7.125" style="8" customWidth="1"/>
    <col min="23" max="23" width="5.625" style="8" customWidth="1"/>
    <col min="24" max="24" width="6.625" style="8" customWidth="1"/>
    <col min="25" max="25" width="2.125" style="8" customWidth="1"/>
    <col min="26" max="26" width="6.625" style="8" customWidth="1"/>
    <col min="27" max="27" width="2.125" style="8" customWidth="1"/>
    <col min="28" max="28" width="6.625" style="8" customWidth="1"/>
    <col min="29" max="29" width="2" style="8" customWidth="1"/>
    <col min="30" max="30" width="8.625" style="8" customWidth="1"/>
    <col min="31" max="31" width="9.125" style="8" customWidth="1"/>
    <col min="32" max="33" width="8.625" style="8" customWidth="1"/>
    <col min="34" max="34" width="1" style="8" customWidth="1"/>
    <col min="35" max="16384" width="9" style="8"/>
  </cols>
  <sheetData>
    <row r="1" spans="1:33">
      <c r="A1" s="8" t="s">
        <v>247</v>
      </c>
      <c r="R1" s="8" t="s">
        <v>247</v>
      </c>
    </row>
    <row r="2" spans="1:33">
      <c r="B2" s="168"/>
      <c r="C2" s="8" t="s">
        <v>249</v>
      </c>
      <c r="T2" s="8" t="s">
        <v>250</v>
      </c>
    </row>
    <row r="3" spans="1:33" ht="27.75" customHeight="1">
      <c r="A3" s="76" t="s">
        <v>0</v>
      </c>
      <c r="B3" s="76" t="s">
        <v>43</v>
      </c>
      <c r="C3" s="76" t="s">
        <v>44</v>
      </c>
      <c r="D3" s="84" t="s">
        <v>50</v>
      </c>
      <c r="E3" s="171" t="s">
        <v>45</v>
      </c>
      <c r="F3" s="76" t="s">
        <v>78</v>
      </c>
      <c r="G3" s="76" t="s">
        <v>2</v>
      </c>
      <c r="H3" s="76"/>
      <c r="I3" s="167" t="s">
        <v>233</v>
      </c>
      <c r="J3" s="76"/>
      <c r="K3" s="76" t="s">
        <v>3</v>
      </c>
      <c r="L3" s="76"/>
      <c r="M3" s="76" t="s">
        <v>244</v>
      </c>
      <c r="N3" s="165" t="s">
        <v>259</v>
      </c>
      <c r="O3" s="76" t="s">
        <v>74</v>
      </c>
      <c r="P3" s="76" t="s">
        <v>221</v>
      </c>
      <c r="R3" s="76" t="s">
        <v>0</v>
      </c>
      <c r="S3" s="76" t="s">
        <v>43</v>
      </c>
      <c r="T3" s="76" t="s">
        <v>44</v>
      </c>
      <c r="U3" s="84" t="s">
        <v>49</v>
      </c>
      <c r="V3" s="171" t="s">
        <v>45</v>
      </c>
      <c r="W3" s="76" t="s">
        <v>78</v>
      </c>
      <c r="X3" s="76" t="s">
        <v>2</v>
      </c>
      <c r="Y3" s="76"/>
      <c r="Z3" s="167" t="s">
        <v>233</v>
      </c>
      <c r="AA3" s="76"/>
      <c r="AB3" s="76" t="s">
        <v>3</v>
      </c>
      <c r="AC3" s="76"/>
      <c r="AD3" s="76" t="s">
        <v>244</v>
      </c>
      <c r="AE3" s="165" t="s">
        <v>260</v>
      </c>
      <c r="AF3" s="76" t="s">
        <v>80</v>
      </c>
      <c r="AG3" s="76" t="s">
        <v>222</v>
      </c>
    </row>
    <row r="4" spans="1:33">
      <c r="A4" s="72"/>
      <c r="B4" s="72"/>
      <c r="C4" s="72"/>
      <c r="D4" s="72"/>
      <c r="E4" s="72"/>
      <c r="F4" s="72"/>
      <c r="G4" s="72"/>
      <c r="H4" s="72"/>
      <c r="I4" s="72"/>
      <c r="J4" s="72"/>
      <c r="K4" s="77" t="s">
        <v>202</v>
      </c>
      <c r="L4" s="72"/>
      <c r="M4" s="77" t="s">
        <v>234</v>
      </c>
      <c r="N4" s="77" t="s">
        <v>42</v>
      </c>
      <c r="O4" s="72"/>
      <c r="P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7" t="s">
        <v>202</v>
      </c>
      <c r="AC4" s="72"/>
      <c r="AD4" s="77" t="s">
        <v>235</v>
      </c>
      <c r="AE4" s="77" t="s">
        <v>42</v>
      </c>
      <c r="AF4" s="72"/>
      <c r="AG4" s="72"/>
    </row>
    <row r="5" spans="1:33">
      <c r="A5" s="70">
        <v>2</v>
      </c>
      <c r="B5" s="70" t="s">
        <v>1</v>
      </c>
      <c r="C5" s="93"/>
      <c r="D5" s="154"/>
      <c r="E5" s="64" t="str">
        <f>IF(D5="","",LOOKUP(D5,概要と通り!$G$24:$G$54,概要と通り!$H$24:$H$54))</f>
        <v/>
      </c>
      <c r="F5" s="154"/>
      <c r="G5" s="155"/>
      <c r="H5" s="64" t="str">
        <f>IF(D5="","","×")</f>
        <v/>
      </c>
      <c r="I5" s="156"/>
      <c r="J5" s="64" t="str">
        <f>IF(D5="","","×")</f>
        <v/>
      </c>
      <c r="K5" s="157"/>
      <c r="L5" s="64" t="str">
        <f>IF(D5="","","=")</f>
        <v/>
      </c>
      <c r="M5" s="83" t="str">
        <f t="shared" ref="M5:M36" si="0">IF(K5="","",IF(0.0001&gt;ABS(G5*I5*K5/1000),0,ABS(G5*I5*K5/1000)))</f>
        <v/>
      </c>
      <c r="N5" s="13" t="str">
        <f>IF(M5="","",LOOKUP(D5,概要と通り!$G$24:$G$54,概要と通り!$J$24:$J$54))</f>
        <v/>
      </c>
      <c r="O5" s="13" t="str">
        <f>IF(M5="","",M5*N5)</f>
        <v/>
      </c>
      <c r="P5" s="13" t="str">
        <f t="shared" ref="P5:P36" si="1">IF(M5="","",M5*(N5-$P$63)^2)</f>
        <v/>
      </c>
      <c r="R5" s="70">
        <v>2</v>
      </c>
      <c r="S5" s="70" t="s">
        <v>15</v>
      </c>
      <c r="T5" s="93"/>
      <c r="U5" s="154"/>
      <c r="V5" s="64" t="str">
        <f>IF(U5="","",LOOKUP(U5,概要と通り!$A$24:$A$54,概要と通り!$B$24:$B$54))</f>
        <v/>
      </c>
      <c r="W5" s="154"/>
      <c r="X5" s="155"/>
      <c r="Y5" s="64" t="str">
        <f>IF(U5="","","×")</f>
        <v/>
      </c>
      <c r="Z5" s="156"/>
      <c r="AA5" s="64" t="str">
        <f>IF(U5="","","×")</f>
        <v/>
      </c>
      <c r="AB5" s="158"/>
      <c r="AC5" s="63" t="str">
        <f>IF(U5="","","=")</f>
        <v/>
      </c>
      <c r="AD5" s="83" t="str">
        <f t="shared" ref="AD5:AD36" si="2">IF(AB5="","",IF(0.0001&gt;ABS(X5*Z5*AB5/1000),0,ABS(X5*Z5*AB5/1000)))</f>
        <v/>
      </c>
      <c r="AE5" s="13" t="str">
        <f>IF(AD5="","",LOOKUP(U5,概要と通り!$A$24:$A$54,概要と通り!$D$24:$D$54))</f>
        <v/>
      </c>
      <c r="AF5" s="13" t="str">
        <f>IF(AD5="","",AD5*AE5)</f>
        <v/>
      </c>
      <c r="AG5" s="13" t="str">
        <f>IF(AD5="","",AD5*(AE5-$AG$63)^2)</f>
        <v/>
      </c>
    </row>
    <row r="6" spans="1:33">
      <c r="A6" s="71"/>
      <c r="B6" s="71"/>
      <c r="C6" s="94"/>
      <c r="D6" s="154"/>
      <c r="E6" s="64" t="str">
        <f>IF(D6="","",LOOKUP(D6,概要と通り!$G$24:$G$54,概要と通り!$H$24:$H$54))</f>
        <v/>
      </c>
      <c r="F6" s="154"/>
      <c r="G6" s="155"/>
      <c r="H6" s="64" t="str">
        <f>IF(D6="","","×")</f>
        <v/>
      </c>
      <c r="I6" s="156"/>
      <c r="J6" s="64" t="str">
        <f>IF(D6="","","×")</f>
        <v/>
      </c>
      <c r="K6" s="157"/>
      <c r="L6" s="64" t="str">
        <f>IF(D6="","","=")</f>
        <v/>
      </c>
      <c r="M6" s="83" t="str">
        <f t="shared" si="0"/>
        <v/>
      </c>
      <c r="N6" s="13" t="str">
        <f>IF(M6="","",LOOKUP(D6,概要と通り!$G$24:$G$54,概要と通り!$J$24:$J$54))</f>
        <v/>
      </c>
      <c r="O6" s="13" t="str">
        <f>IF(M6="","",M6*N6)</f>
        <v/>
      </c>
      <c r="P6" s="13" t="str">
        <f t="shared" si="1"/>
        <v/>
      </c>
      <c r="R6" s="71"/>
      <c r="S6" s="71"/>
      <c r="T6" s="94"/>
      <c r="U6" s="154"/>
      <c r="V6" s="64" t="str">
        <f>IF(U6="","",LOOKUP(U6,概要と通り!$A$24:$A$54,概要と通り!$B$24:$B$54))</f>
        <v/>
      </c>
      <c r="W6" s="154"/>
      <c r="X6" s="155"/>
      <c r="Y6" s="64" t="str">
        <f>IF(U6="","","×")</f>
        <v/>
      </c>
      <c r="Z6" s="156"/>
      <c r="AA6" s="64" t="str">
        <f>IF(U6="","","×")</f>
        <v/>
      </c>
      <c r="AB6" s="158"/>
      <c r="AC6" s="63" t="str">
        <f>IF(U6="","","=")</f>
        <v/>
      </c>
      <c r="AD6" s="83" t="str">
        <f t="shared" si="2"/>
        <v/>
      </c>
      <c r="AE6" s="13" t="str">
        <f>IF(AD6="","",LOOKUP(U6,概要と通り!$A$24:$A$54,概要と通り!$D$24:$D$54))</f>
        <v/>
      </c>
      <c r="AF6" s="13" t="str">
        <f>IF(AD6="","",AD6*AE6)</f>
        <v/>
      </c>
      <c r="AG6" s="13" t="str">
        <f>IF(AD6="","",AD6*(AE6-$AG$63)^2)</f>
        <v/>
      </c>
    </row>
    <row r="7" spans="1:33">
      <c r="A7" s="71"/>
      <c r="B7" s="71"/>
      <c r="C7" s="94"/>
      <c r="D7" s="154"/>
      <c r="E7" s="64" t="str">
        <f>IF(D7="","",LOOKUP(D7,概要と通り!$G$24:$G$54,概要と通り!$H$24:$H$54))</f>
        <v/>
      </c>
      <c r="F7" s="154"/>
      <c r="G7" s="155"/>
      <c r="H7" s="64" t="str">
        <f>IF(D7="","","×")</f>
        <v/>
      </c>
      <c r="I7" s="156"/>
      <c r="J7" s="64" t="str">
        <f>IF(D7="","","×")</f>
        <v/>
      </c>
      <c r="K7" s="157"/>
      <c r="L7" s="64" t="str">
        <f>IF(D7="","","=")</f>
        <v/>
      </c>
      <c r="M7" s="83" t="str">
        <f t="shared" si="0"/>
        <v/>
      </c>
      <c r="N7" s="13" t="str">
        <f>IF(M7="","",LOOKUP(D7,概要と通り!$G$24:$G$54,概要と通り!$J$24:$J$54))</f>
        <v/>
      </c>
      <c r="O7" s="13" t="str">
        <f>IF(M7="","",M7*N7)</f>
        <v/>
      </c>
      <c r="P7" s="13" t="str">
        <f t="shared" si="1"/>
        <v/>
      </c>
      <c r="R7" s="71"/>
      <c r="S7" s="71"/>
      <c r="T7" s="94"/>
      <c r="U7" s="154"/>
      <c r="V7" s="64" t="str">
        <f>IF(U7="","",LOOKUP(U7,概要と通り!$A$24:$A$54,概要と通り!$B$24:$B$54))</f>
        <v/>
      </c>
      <c r="W7" s="154"/>
      <c r="X7" s="155"/>
      <c r="Y7" s="64" t="str">
        <f>IF(U7="","","×")</f>
        <v/>
      </c>
      <c r="Z7" s="156"/>
      <c r="AA7" s="64" t="str">
        <f>IF(U7="","","×")</f>
        <v/>
      </c>
      <c r="AB7" s="158"/>
      <c r="AC7" s="63" t="str">
        <f>IF(U7="","","=")</f>
        <v/>
      </c>
      <c r="AD7" s="83" t="str">
        <f t="shared" si="2"/>
        <v/>
      </c>
      <c r="AE7" s="13" t="str">
        <f>IF(AD7="","",LOOKUP(U7,概要と通り!$A$24:$A$54,概要と通り!$D$24:$D$54))</f>
        <v/>
      </c>
      <c r="AF7" s="13" t="str">
        <f>IF(AD7="","",AD7*AE7)</f>
        <v/>
      </c>
      <c r="AG7" s="13" t="str">
        <f>IF(AD7="","",AD7*(AE7-$AG$63)^2)</f>
        <v/>
      </c>
    </row>
    <row r="8" spans="1:33">
      <c r="A8" s="71"/>
      <c r="B8" s="71"/>
      <c r="C8" s="94"/>
      <c r="D8" s="154"/>
      <c r="E8" s="64" t="str">
        <f>IF(D8="","",LOOKUP(D8,概要と通り!$G$24:$G$54,概要と通り!$H$24:$H$54))</f>
        <v/>
      </c>
      <c r="F8" s="154"/>
      <c r="G8" s="155"/>
      <c r="H8" s="64" t="str">
        <f>IF(D8="","","×")</f>
        <v/>
      </c>
      <c r="I8" s="156"/>
      <c r="J8" s="64" t="str">
        <f>IF(D8="","","×")</f>
        <v/>
      </c>
      <c r="K8" s="157"/>
      <c r="L8" s="64" t="str">
        <f>IF(D8="","","=")</f>
        <v/>
      </c>
      <c r="M8" s="83" t="str">
        <f t="shared" si="0"/>
        <v/>
      </c>
      <c r="N8" s="13" t="str">
        <f>IF(M8="","",LOOKUP(D8,概要と通り!$G$24:$G$54,概要と通り!$J$24:$J$54))</f>
        <v/>
      </c>
      <c r="O8" s="13" t="str">
        <f>IF(M8="","",M8*N8)</f>
        <v/>
      </c>
      <c r="P8" s="13" t="str">
        <f t="shared" si="1"/>
        <v/>
      </c>
      <c r="R8" s="71"/>
      <c r="S8" s="71"/>
      <c r="T8" s="94"/>
      <c r="U8" s="154"/>
      <c r="V8" s="64" t="str">
        <f>IF(U8="","",LOOKUP(U8,概要と通り!$A$24:$A$54,概要と通り!$B$24:$B$54))</f>
        <v/>
      </c>
      <c r="W8" s="154"/>
      <c r="X8" s="155"/>
      <c r="Y8" s="64" t="str">
        <f>IF(U8="","","×")</f>
        <v/>
      </c>
      <c r="Z8" s="156"/>
      <c r="AA8" s="64" t="str">
        <f>IF(U8="","","×")</f>
        <v/>
      </c>
      <c r="AB8" s="158"/>
      <c r="AC8" s="63" t="str">
        <f>IF(U8="","","=")</f>
        <v/>
      </c>
      <c r="AD8" s="83" t="str">
        <f t="shared" si="2"/>
        <v/>
      </c>
      <c r="AE8" s="13" t="str">
        <f>IF(AD8="","",LOOKUP(U8,概要と通り!$A$24:$A$54,概要と通り!$D$24:$D$54))</f>
        <v/>
      </c>
      <c r="AF8" s="13" t="str">
        <f>IF(AD8="","",AD8*AE8)</f>
        <v/>
      </c>
      <c r="AG8" s="13" t="str">
        <f>IF(AD8="","",AD8*(AE8-$AG$70)^2)</f>
        <v/>
      </c>
    </row>
    <row r="9" spans="1:33">
      <c r="A9" s="71"/>
      <c r="B9" s="71"/>
      <c r="C9" s="94"/>
      <c r="D9" s="154"/>
      <c r="E9" s="64" t="str">
        <f>IF(D9="","",LOOKUP(D9,概要と通り!$G$24:$G$54,概要と通り!$H$24:$H$54))</f>
        <v/>
      </c>
      <c r="F9" s="154"/>
      <c r="G9" s="155"/>
      <c r="H9" s="64" t="str">
        <f t="shared" ref="H9:H34" si="3">IF(D9="","","×")</f>
        <v/>
      </c>
      <c r="I9" s="156"/>
      <c r="J9" s="64" t="str">
        <f t="shared" ref="J9:J34" si="4">IF(D9="","","×")</f>
        <v/>
      </c>
      <c r="K9" s="157"/>
      <c r="L9" s="64" t="str">
        <f t="shared" ref="L9:L34" si="5">IF(D9="","","=")</f>
        <v/>
      </c>
      <c r="M9" s="83" t="str">
        <f t="shared" si="0"/>
        <v/>
      </c>
      <c r="N9" s="13" t="str">
        <f>IF(M9="","",LOOKUP(D9,概要と通り!$G$24:$G$54,概要と通り!$J$24:$J$54))</f>
        <v/>
      </c>
      <c r="O9" s="13" t="str">
        <f t="shared" ref="O9:O34" si="6">IF(M9="","",M9*N9)</f>
        <v/>
      </c>
      <c r="P9" s="13" t="str">
        <f t="shared" si="1"/>
        <v/>
      </c>
      <c r="R9" s="71"/>
      <c r="S9" s="71"/>
      <c r="T9" s="94"/>
      <c r="U9" s="154"/>
      <c r="V9" s="64" t="str">
        <f>IF(U9="","",LOOKUP(U9,概要と通り!$A$24:$A$54,概要と通り!$B$24:$B$54))</f>
        <v/>
      </c>
      <c r="W9" s="154"/>
      <c r="X9" s="155"/>
      <c r="Y9" s="64" t="str">
        <f t="shared" ref="Y9:Y34" si="7">IF(U9="","","×")</f>
        <v/>
      </c>
      <c r="Z9" s="156"/>
      <c r="AA9" s="64" t="str">
        <f t="shared" ref="AA9:AA34" si="8">IF(U9="","","×")</f>
        <v/>
      </c>
      <c r="AB9" s="158"/>
      <c r="AC9" s="63" t="str">
        <f t="shared" ref="AC9:AC34" si="9">IF(U9="","","=")</f>
        <v/>
      </c>
      <c r="AD9" s="83" t="str">
        <f t="shared" si="2"/>
        <v/>
      </c>
      <c r="AE9" s="13" t="str">
        <f>IF(AD9="","",LOOKUP(U9,概要と通り!$A$24:$A$54,概要と通り!$D$24:$D$54))</f>
        <v/>
      </c>
      <c r="AF9" s="13" t="str">
        <f t="shared" ref="AF9:AF34" si="10">IF(AD9="","",AD9*AE9)</f>
        <v/>
      </c>
      <c r="AG9" s="13" t="str">
        <f t="shared" ref="AG9:AG34" si="11">IF(AD9="","",AD9*(AE9-$AG$70)^2)</f>
        <v/>
      </c>
    </row>
    <row r="10" spans="1:33">
      <c r="A10" s="71"/>
      <c r="B10" s="71"/>
      <c r="C10" s="94"/>
      <c r="D10" s="154"/>
      <c r="E10" s="64" t="str">
        <f>IF(D10="","",LOOKUP(D10,概要と通り!$G$24:$G$54,概要と通り!$H$24:$H$54))</f>
        <v/>
      </c>
      <c r="F10" s="154"/>
      <c r="G10" s="155"/>
      <c r="H10" s="64" t="str">
        <f t="shared" si="3"/>
        <v/>
      </c>
      <c r="I10" s="156"/>
      <c r="J10" s="64" t="str">
        <f t="shared" si="4"/>
        <v/>
      </c>
      <c r="K10" s="157"/>
      <c r="L10" s="64" t="str">
        <f t="shared" si="5"/>
        <v/>
      </c>
      <c r="M10" s="83" t="str">
        <f t="shared" si="0"/>
        <v/>
      </c>
      <c r="N10" s="13" t="str">
        <f>IF(M10="","",LOOKUP(D10,概要と通り!$G$24:$G$54,概要と通り!$J$24:$J$54))</f>
        <v/>
      </c>
      <c r="O10" s="13" t="str">
        <f t="shared" si="6"/>
        <v/>
      </c>
      <c r="P10" s="13" t="str">
        <f t="shared" si="1"/>
        <v/>
      </c>
      <c r="R10" s="71"/>
      <c r="S10" s="71"/>
      <c r="T10" s="94"/>
      <c r="U10" s="154"/>
      <c r="V10" s="64" t="str">
        <f>IF(U10="","",LOOKUP(U10,概要と通り!$A$24:$A$54,概要と通り!$B$24:$B$54))</f>
        <v/>
      </c>
      <c r="W10" s="154"/>
      <c r="X10" s="155"/>
      <c r="Y10" s="64" t="str">
        <f t="shared" si="7"/>
        <v/>
      </c>
      <c r="Z10" s="156"/>
      <c r="AA10" s="64" t="str">
        <f t="shared" si="8"/>
        <v/>
      </c>
      <c r="AB10" s="158"/>
      <c r="AC10" s="63" t="str">
        <f t="shared" si="9"/>
        <v/>
      </c>
      <c r="AD10" s="83" t="str">
        <f t="shared" si="2"/>
        <v/>
      </c>
      <c r="AE10" s="13" t="str">
        <f>IF(AD10="","",LOOKUP(U10,概要と通り!$A$24:$A$54,概要と通り!$D$24:$D$54))</f>
        <v/>
      </c>
      <c r="AF10" s="13" t="str">
        <f t="shared" si="10"/>
        <v/>
      </c>
      <c r="AG10" s="13" t="str">
        <f t="shared" si="11"/>
        <v/>
      </c>
    </row>
    <row r="11" spans="1:33">
      <c r="A11" s="71"/>
      <c r="B11" s="71"/>
      <c r="C11" s="94"/>
      <c r="D11" s="154"/>
      <c r="E11" s="64" t="str">
        <f>IF(D11="","",LOOKUP(D11,概要と通り!$G$24:$G$54,概要と通り!$H$24:$H$54))</f>
        <v/>
      </c>
      <c r="F11" s="154"/>
      <c r="G11" s="155"/>
      <c r="H11" s="64" t="str">
        <f t="shared" si="3"/>
        <v/>
      </c>
      <c r="I11" s="156"/>
      <c r="J11" s="64" t="str">
        <f t="shared" si="4"/>
        <v/>
      </c>
      <c r="K11" s="157"/>
      <c r="L11" s="64" t="str">
        <f t="shared" si="5"/>
        <v/>
      </c>
      <c r="M11" s="83" t="str">
        <f t="shared" si="0"/>
        <v/>
      </c>
      <c r="N11" s="13" t="str">
        <f>IF(M11="","",LOOKUP(D11,概要と通り!$G$24:$G$54,概要と通り!$J$24:$J$54))</f>
        <v/>
      </c>
      <c r="O11" s="13" t="str">
        <f t="shared" si="6"/>
        <v/>
      </c>
      <c r="P11" s="13" t="str">
        <f t="shared" si="1"/>
        <v/>
      </c>
      <c r="R11" s="71"/>
      <c r="S11" s="71"/>
      <c r="T11" s="94"/>
      <c r="U11" s="154"/>
      <c r="V11" s="64" t="str">
        <f>IF(U11="","",LOOKUP(U11,概要と通り!$A$24:$A$54,概要と通り!$B$24:$B$54))</f>
        <v/>
      </c>
      <c r="W11" s="154"/>
      <c r="X11" s="155"/>
      <c r="Y11" s="64" t="str">
        <f t="shared" si="7"/>
        <v/>
      </c>
      <c r="Z11" s="156"/>
      <c r="AA11" s="64" t="str">
        <f t="shared" si="8"/>
        <v/>
      </c>
      <c r="AB11" s="158"/>
      <c r="AC11" s="63" t="str">
        <f t="shared" si="9"/>
        <v/>
      </c>
      <c r="AD11" s="83" t="str">
        <f t="shared" si="2"/>
        <v/>
      </c>
      <c r="AE11" s="13" t="str">
        <f>IF(AD11="","",LOOKUP(U11,概要と通り!$A$24:$A$54,概要と通り!$D$24:$D$54))</f>
        <v/>
      </c>
      <c r="AF11" s="13" t="str">
        <f t="shared" si="10"/>
        <v/>
      </c>
      <c r="AG11" s="13" t="str">
        <f t="shared" si="11"/>
        <v/>
      </c>
    </row>
    <row r="12" spans="1:33">
      <c r="A12" s="71"/>
      <c r="B12" s="71"/>
      <c r="C12" s="94"/>
      <c r="D12" s="154"/>
      <c r="E12" s="64" t="str">
        <f>IF(D12="","",LOOKUP(D12,概要と通り!$G$24:$G$54,概要と通り!$H$24:$H$54))</f>
        <v/>
      </c>
      <c r="F12" s="154"/>
      <c r="G12" s="155"/>
      <c r="H12" s="64" t="str">
        <f t="shared" si="3"/>
        <v/>
      </c>
      <c r="I12" s="156"/>
      <c r="J12" s="64" t="str">
        <f t="shared" si="4"/>
        <v/>
      </c>
      <c r="K12" s="157"/>
      <c r="L12" s="64" t="str">
        <f t="shared" si="5"/>
        <v/>
      </c>
      <c r="M12" s="83" t="str">
        <f t="shared" si="0"/>
        <v/>
      </c>
      <c r="N12" s="13" t="str">
        <f>IF(M12="","",LOOKUP(D12,概要と通り!$G$24:$G$54,概要と通り!$J$24:$J$54))</f>
        <v/>
      </c>
      <c r="O12" s="13" t="str">
        <f t="shared" si="6"/>
        <v/>
      </c>
      <c r="P12" s="13" t="str">
        <f t="shared" si="1"/>
        <v/>
      </c>
      <c r="R12" s="71"/>
      <c r="S12" s="71"/>
      <c r="T12" s="94"/>
      <c r="U12" s="154"/>
      <c r="V12" s="64" t="str">
        <f>IF(U12="","",LOOKUP(U12,概要と通り!$A$24:$A$54,概要と通り!$B$24:$B$54))</f>
        <v/>
      </c>
      <c r="W12" s="154"/>
      <c r="X12" s="155"/>
      <c r="Y12" s="64" t="str">
        <f t="shared" si="7"/>
        <v/>
      </c>
      <c r="Z12" s="156"/>
      <c r="AA12" s="64" t="str">
        <f t="shared" si="8"/>
        <v/>
      </c>
      <c r="AB12" s="158"/>
      <c r="AC12" s="63" t="str">
        <f t="shared" si="9"/>
        <v/>
      </c>
      <c r="AD12" s="83" t="str">
        <f t="shared" si="2"/>
        <v/>
      </c>
      <c r="AE12" s="13" t="str">
        <f>IF(AD12="","",LOOKUP(U12,概要と通り!$A$24:$A$54,概要と通り!$D$24:$D$54))</f>
        <v/>
      </c>
      <c r="AF12" s="13" t="str">
        <f t="shared" si="10"/>
        <v/>
      </c>
      <c r="AG12" s="13" t="str">
        <f t="shared" si="11"/>
        <v/>
      </c>
    </row>
    <row r="13" spans="1:33">
      <c r="A13" s="71"/>
      <c r="B13" s="71"/>
      <c r="C13" s="94"/>
      <c r="D13" s="154"/>
      <c r="E13" s="64" t="str">
        <f>IF(D13="","",LOOKUP(D13,概要と通り!$G$24:$G$54,概要と通り!$H$24:$H$54))</f>
        <v/>
      </c>
      <c r="F13" s="154"/>
      <c r="G13" s="155"/>
      <c r="H13" s="64" t="str">
        <f t="shared" si="3"/>
        <v/>
      </c>
      <c r="I13" s="156"/>
      <c r="J13" s="64" t="str">
        <f t="shared" si="4"/>
        <v/>
      </c>
      <c r="K13" s="157"/>
      <c r="L13" s="64" t="str">
        <f t="shared" si="5"/>
        <v/>
      </c>
      <c r="M13" s="83" t="str">
        <f t="shared" si="0"/>
        <v/>
      </c>
      <c r="N13" s="13" t="str">
        <f>IF(M13="","",LOOKUP(D13,概要と通り!$G$24:$G$54,概要と通り!$J$24:$J$54))</f>
        <v/>
      </c>
      <c r="O13" s="13" t="str">
        <f t="shared" si="6"/>
        <v/>
      </c>
      <c r="P13" s="13" t="str">
        <f t="shared" si="1"/>
        <v/>
      </c>
      <c r="R13" s="71"/>
      <c r="S13" s="71"/>
      <c r="T13" s="94"/>
      <c r="U13" s="154"/>
      <c r="V13" s="64" t="str">
        <f>IF(U13="","",LOOKUP(U13,概要と通り!$A$24:$A$54,概要と通り!$B$24:$B$54))</f>
        <v/>
      </c>
      <c r="W13" s="154"/>
      <c r="X13" s="155"/>
      <c r="Y13" s="64" t="str">
        <f t="shared" si="7"/>
        <v/>
      </c>
      <c r="Z13" s="156"/>
      <c r="AA13" s="64" t="str">
        <f t="shared" si="8"/>
        <v/>
      </c>
      <c r="AB13" s="158"/>
      <c r="AC13" s="63" t="str">
        <f t="shared" si="9"/>
        <v/>
      </c>
      <c r="AD13" s="83" t="str">
        <f t="shared" si="2"/>
        <v/>
      </c>
      <c r="AE13" s="13" t="str">
        <f>IF(AD13="","",LOOKUP(U13,概要と通り!$A$24:$A$54,概要と通り!$D$24:$D$54))</f>
        <v/>
      </c>
      <c r="AF13" s="13" t="str">
        <f t="shared" si="10"/>
        <v/>
      </c>
      <c r="AG13" s="13" t="str">
        <f t="shared" si="11"/>
        <v/>
      </c>
    </row>
    <row r="14" spans="1:33">
      <c r="A14" s="71"/>
      <c r="B14" s="71"/>
      <c r="C14" s="94"/>
      <c r="D14" s="154"/>
      <c r="E14" s="64" t="str">
        <f>IF(D14="","",LOOKUP(D14,概要と通り!$G$24:$G$54,概要と通り!$H$24:$H$54))</f>
        <v/>
      </c>
      <c r="F14" s="154"/>
      <c r="G14" s="155"/>
      <c r="H14" s="64" t="str">
        <f t="shared" si="3"/>
        <v/>
      </c>
      <c r="I14" s="156"/>
      <c r="J14" s="64" t="str">
        <f t="shared" si="4"/>
        <v/>
      </c>
      <c r="K14" s="157"/>
      <c r="L14" s="64" t="str">
        <f t="shared" si="5"/>
        <v/>
      </c>
      <c r="M14" s="83" t="str">
        <f t="shared" si="0"/>
        <v/>
      </c>
      <c r="N14" s="13" t="str">
        <f>IF(M14="","",LOOKUP(D14,概要と通り!$G$24:$G$54,概要と通り!$J$24:$J$54))</f>
        <v/>
      </c>
      <c r="O14" s="13" t="str">
        <f t="shared" si="6"/>
        <v/>
      </c>
      <c r="P14" s="13" t="str">
        <f t="shared" si="1"/>
        <v/>
      </c>
      <c r="R14" s="71"/>
      <c r="S14" s="71"/>
      <c r="T14" s="94"/>
      <c r="U14" s="154"/>
      <c r="V14" s="64" t="str">
        <f>IF(U14="","",LOOKUP(U14,概要と通り!$A$24:$A$54,概要と通り!$B$24:$B$54))</f>
        <v/>
      </c>
      <c r="W14" s="154"/>
      <c r="X14" s="155"/>
      <c r="Y14" s="64" t="str">
        <f t="shared" si="7"/>
        <v/>
      </c>
      <c r="Z14" s="156"/>
      <c r="AA14" s="64" t="str">
        <f t="shared" si="8"/>
        <v/>
      </c>
      <c r="AB14" s="158"/>
      <c r="AC14" s="63" t="str">
        <f t="shared" si="9"/>
        <v/>
      </c>
      <c r="AD14" s="83" t="str">
        <f t="shared" si="2"/>
        <v/>
      </c>
      <c r="AE14" s="13" t="str">
        <f>IF(AD14="","",LOOKUP(U14,概要と通り!$A$24:$A$54,概要と通り!$D$24:$D$54))</f>
        <v/>
      </c>
      <c r="AF14" s="13" t="str">
        <f t="shared" si="10"/>
        <v/>
      </c>
      <c r="AG14" s="13" t="str">
        <f t="shared" si="11"/>
        <v/>
      </c>
    </row>
    <row r="15" spans="1:33">
      <c r="A15" s="71"/>
      <c r="B15" s="71"/>
      <c r="C15" s="94"/>
      <c r="D15" s="154"/>
      <c r="E15" s="64" t="str">
        <f>IF(D15="","",LOOKUP(D15,概要と通り!$G$24:$G$54,概要と通り!$H$24:$H$54))</f>
        <v/>
      </c>
      <c r="F15" s="154"/>
      <c r="G15" s="155"/>
      <c r="H15" s="64" t="str">
        <f t="shared" si="3"/>
        <v/>
      </c>
      <c r="I15" s="156"/>
      <c r="J15" s="64" t="str">
        <f t="shared" si="4"/>
        <v/>
      </c>
      <c r="K15" s="157"/>
      <c r="L15" s="64" t="str">
        <f t="shared" si="5"/>
        <v/>
      </c>
      <c r="M15" s="83" t="str">
        <f t="shared" si="0"/>
        <v/>
      </c>
      <c r="N15" s="13" t="str">
        <f>IF(M15="","",LOOKUP(D15,概要と通り!$G$24:$G$54,概要と通り!$J$24:$J$54))</f>
        <v/>
      </c>
      <c r="O15" s="13" t="str">
        <f t="shared" si="6"/>
        <v/>
      </c>
      <c r="P15" s="13" t="str">
        <f t="shared" si="1"/>
        <v/>
      </c>
      <c r="R15" s="71"/>
      <c r="S15" s="71"/>
      <c r="T15" s="94"/>
      <c r="U15" s="154"/>
      <c r="V15" s="64" t="str">
        <f>IF(U15="","",LOOKUP(U15,概要と通り!$A$24:$A$54,概要と通り!$B$24:$B$54))</f>
        <v/>
      </c>
      <c r="W15" s="154"/>
      <c r="X15" s="155"/>
      <c r="Y15" s="64" t="str">
        <f t="shared" si="7"/>
        <v/>
      </c>
      <c r="Z15" s="156"/>
      <c r="AA15" s="64" t="str">
        <f t="shared" si="8"/>
        <v/>
      </c>
      <c r="AB15" s="158"/>
      <c r="AC15" s="63" t="str">
        <f t="shared" si="9"/>
        <v/>
      </c>
      <c r="AD15" s="83" t="str">
        <f t="shared" si="2"/>
        <v/>
      </c>
      <c r="AE15" s="13" t="str">
        <f>IF(AD15="","",LOOKUP(U15,概要と通り!$A$24:$A$54,概要と通り!$D$24:$D$54))</f>
        <v/>
      </c>
      <c r="AF15" s="13" t="str">
        <f t="shared" si="10"/>
        <v/>
      </c>
      <c r="AG15" s="13" t="str">
        <f t="shared" si="11"/>
        <v/>
      </c>
    </row>
    <row r="16" spans="1:33">
      <c r="A16" s="71"/>
      <c r="B16" s="71"/>
      <c r="C16" s="94"/>
      <c r="D16" s="154"/>
      <c r="E16" s="64" t="str">
        <f>IF(D16="","",LOOKUP(D16,概要と通り!$G$24:$G$54,概要と通り!$H$24:$H$54))</f>
        <v/>
      </c>
      <c r="F16" s="154"/>
      <c r="G16" s="155"/>
      <c r="H16" s="64" t="str">
        <f t="shared" si="3"/>
        <v/>
      </c>
      <c r="I16" s="156"/>
      <c r="J16" s="64" t="str">
        <f t="shared" si="4"/>
        <v/>
      </c>
      <c r="K16" s="157"/>
      <c r="L16" s="64" t="str">
        <f t="shared" si="5"/>
        <v/>
      </c>
      <c r="M16" s="83" t="str">
        <f t="shared" si="0"/>
        <v/>
      </c>
      <c r="N16" s="13" t="str">
        <f>IF(M16="","",LOOKUP(D16,概要と通り!$G$24:$G$54,概要と通り!$J$24:$J$54))</f>
        <v/>
      </c>
      <c r="O16" s="13" t="str">
        <f t="shared" si="6"/>
        <v/>
      </c>
      <c r="P16" s="13" t="str">
        <f t="shared" si="1"/>
        <v/>
      </c>
      <c r="R16" s="71"/>
      <c r="S16" s="71"/>
      <c r="T16" s="94"/>
      <c r="U16" s="154"/>
      <c r="V16" s="64" t="str">
        <f>IF(U16="","",LOOKUP(U16,概要と通り!$A$24:$A$54,概要と通り!$B$24:$B$54))</f>
        <v/>
      </c>
      <c r="W16" s="154"/>
      <c r="X16" s="155"/>
      <c r="Y16" s="64" t="str">
        <f t="shared" si="7"/>
        <v/>
      </c>
      <c r="Z16" s="156"/>
      <c r="AA16" s="64" t="str">
        <f t="shared" si="8"/>
        <v/>
      </c>
      <c r="AB16" s="158"/>
      <c r="AC16" s="63" t="str">
        <f t="shared" si="9"/>
        <v/>
      </c>
      <c r="AD16" s="83" t="str">
        <f t="shared" si="2"/>
        <v/>
      </c>
      <c r="AE16" s="13" t="str">
        <f>IF(AD16="","",LOOKUP(U16,概要と通り!$A$24:$A$54,概要と通り!$D$24:$D$54))</f>
        <v/>
      </c>
      <c r="AF16" s="13" t="str">
        <f t="shared" si="10"/>
        <v/>
      </c>
      <c r="AG16" s="13" t="str">
        <f t="shared" si="11"/>
        <v/>
      </c>
    </row>
    <row r="17" spans="1:33">
      <c r="A17" s="71"/>
      <c r="B17" s="71"/>
      <c r="C17" s="94"/>
      <c r="D17" s="154"/>
      <c r="E17" s="64" t="str">
        <f>IF(D17="","",LOOKUP(D17,概要と通り!$G$24:$G$54,概要と通り!$H$24:$H$54))</f>
        <v/>
      </c>
      <c r="F17" s="154"/>
      <c r="G17" s="155"/>
      <c r="H17" s="64" t="str">
        <f t="shared" si="3"/>
        <v/>
      </c>
      <c r="I17" s="156"/>
      <c r="J17" s="64" t="str">
        <f t="shared" si="4"/>
        <v/>
      </c>
      <c r="K17" s="157"/>
      <c r="L17" s="64" t="str">
        <f t="shared" si="5"/>
        <v/>
      </c>
      <c r="M17" s="83" t="str">
        <f t="shared" si="0"/>
        <v/>
      </c>
      <c r="N17" s="13" t="str">
        <f>IF(M17="","",LOOKUP(D17,概要と通り!$G$24:$G$54,概要と通り!$J$24:$J$54))</f>
        <v/>
      </c>
      <c r="O17" s="13" t="str">
        <f t="shared" si="6"/>
        <v/>
      </c>
      <c r="P17" s="13" t="str">
        <f t="shared" si="1"/>
        <v/>
      </c>
      <c r="R17" s="71"/>
      <c r="S17" s="71"/>
      <c r="T17" s="94"/>
      <c r="U17" s="154"/>
      <c r="V17" s="64" t="str">
        <f>IF(U17="","",LOOKUP(U17,概要と通り!$A$24:$A$54,概要と通り!$B$24:$B$54))</f>
        <v/>
      </c>
      <c r="W17" s="154"/>
      <c r="X17" s="155"/>
      <c r="Y17" s="64" t="str">
        <f t="shared" si="7"/>
        <v/>
      </c>
      <c r="Z17" s="156"/>
      <c r="AA17" s="64" t="str">
        <f t="shared" si="8"/>
        <v/>
      </c>
      <c r="AB17" s="158"/>
      <c r="AC17" s="63" t="str">
        <f t="shared" si="9"/>
        <v/>
      </c>
      <c r="AD17" s="83" t="str">
        <f t="shared" si="2"/>
        <v/>
      </c>
      <c r="AE17" s="13" t="str">
        <f>IF(AD17="","",LOOKUP(U17,概要と通り!$A$24:$A$54,概要と通り!$D$24:$D$54))</f>
        <v/>
      </c>
      <c r="AF17" s="13" t="str">
        <f t="shared" si="10"/>
        <v/>
      </c>
      <c r="AG17" s="13" t="str">
        <f t="shared" si="11"/>
        <v/>
      </c>
    </row>
    <row r="18" spans="1:33">
      <c r="A18" s="71"/>
      <c r="B18" s="71"/>
      <c r="C18" s="94"/>
      <c r="D18" s="154"/>
      <c r="E18" s="64" t="str">
        <f>IF(D18="","",LOOKUP(D18,概要と通り!$G$24:$G$54,概要と通り!$H$24:$H$54))</f>
        <v/>
      </c>
      <c r="F18" s="154"/>
      <c r="G18" s="155"/>
      <c r="H18" s="64" t="str">
        <f t="shared" si="3"/>
        <v/>
      </c>
      <c r="I18" s="156"/>
      <c r="J18" s="64" t="str">
        <f t="shared" si="4"/>
        <v/>
      </c>
      <c r="K18" s="157"/>
      <c r="L18" s="64" t="str">
        <f t="shared" si="5"/>
        <v/>
      </c>
      <c r="M18" s="83" t="str">
        <f t="shared" si="0"/>
        <v/>
      </c>
      <c r="N18" s="13" t="str">
        <f>IF(M18="","",LOOKUP(D18,概要と通り!$G$24:$G$54,概要と通り!$J$24:$J$54))</f>
        <v/>
      </c>
      <c r="O18" s="13" t="str">
        <f t="shared" si="6"/>
        <v/>
      </c>
      <c r="P18" s="13" t="str">
        <f t="shared" si="1"/>
        <v/>
      </c>
      <c r="R18" s="71"/>
      <c r="S18" s="71"/>
      <c r="T18" s="94"/>
      <c r="U18" s="154"/>
      <c r="V18" s="64" t="str">
        <f>IF(U18="","",LOOKUP(U18,概要と通り!$A$24:$A$54,概要と通り!$B$24:$B$54))</f>
        <v/>
      </c>
      <c r="W18" s="154"/>
      <c r="X18" s="155"/>
      <c r="Y18" s="64" t="str">
        <f t="shared" si="7"/>
        <v/>
      </c>
      <c r="Z18" s="156"/>
      <c r="AA18" s="64" t="str">
        <f t="shared" si="8"/>
        <v/>
      </c>
      <c r="AB18" s="158"/>
      <c r="AC18" s="63" t="str">
        <f t="shared" si="9"/>
        <v/>
      </c>
      <c r="AD18" s="83" t="str">
        <f t="shared" si="2"/>
        <v/>
      </c>
      <c r="AE18" s="13" t="str">
        <f>IF(AD18="","",LOOKUP(U18,概要と通り!$A$24:$A$54,概要と通り!$D$24:$D$54))</f>
        <v/>
      </c>
      <c r="AF18" s="13" t="str">
        <f t="shared" si="10"/>
        <v/>
      </c>
      <c r="AG18" s="13" t="str">
        <f t="shared" si="11"/>
        <v/>
      </c>
    </row>
    <row r="19" spans="1:33">
      <c r="A19" s="71"/>
      <c r="B19" s="71"/>
      <c r="C19" s="94"/>
      <c r="D19" s="154"/>
      <c r="E19" s="64" t="str">
        <f>IF(D19="","",LOOKUP(D19,概要と通り!$G$24:$G$54,概要と通り!$H$24:$H$54))</f>
        <v/>
      </c>
      <c r="F19" s="154"/>
      <c r="G19" s="155"/>
      <c r="H19" s="64" t="str">
        <f t="shared" si="3"/>
        <v/>
      </c>
      <c r="I19" s="156"/>
      <c r="J19" s="64" t="str">
        <f t="shared" si="4"/>
        <v/>
      </c>
      <c r="K19" s="157"/>
      <c r="L19" s="64" t="str">
        <f t="shared" si="5"/>
        <v/>
      </c>
      <c r="M19" s="83" t="str">
        <f t="shared" si="0"/>
        <v/>
      </c>
      <c r="N19" s="13" t="str">
        <f>IF(M19="","",LOOKUP(D19,概要と通り!$G$24:$G$54,概要と通り!$J$24:$J$54))</f>
        <v/>
      </c>
      <c r="O19" s="13" t="str">
        <f t="shared" si="6"/>
        <v/>
      </c>
      <c r="P19" s="13" t="str">
        <f t="shared" si="1"/>
        <v/>
      </c>
      <c r="R19" s="71"/>
      <c r="S19" s="71"/>
      <c r="T19" s="94"/>
      <c r="U19" s="154"/>
      <c r="V19" s="64" t="str">
        <f>IF(U19="","",LOOKUP(U19,概要と通り!$A$24:$A$54,概要と通り!$B$24:$B$54))</f>
        <v/>
      </c>
      <c r="W19" s="154"/>
      <c r="X19" s="155"/>
      <c r="Y19" s="64" t="str">
        <f t="shared" si="7"/>
        <v/>
      </c>
      <c r="Z19" s="156"/>
      <c r="AA19" s="64" t="str">
        <f t="shared" si="8"/>
        <v/>
      </c>
      <c r="AB19" s="158"/>
      <c r="AC19" s="63" t="str">
        <f t="shared" si="9"/>
        <v/>
      </c>
      <c r="AD19" s="83" t="str">
        <f t="shared" si="2"/>
        <v/>
      </c>
      <c r="AE19" s="13" t="str">
        <f>IF(AD19="","",LOOKUP(U19,概要と通り!$A$24:$A$54,概要と通り!$D$24:$D$54))</f>
        <v/>
      </c>
      <c r="AF19" s="13" t="str">
        <f t="shared" si="10"/>
        <v/>
      </c>
      <c r="AG19" s="13" t="str">
        <f t="shared" si="11"/>
        <v/>
      </c>
    </row>
    <row r="20" spans="1:33">
      <c r="A20" s="71"/>
      <c r="B20" s="71"/>
      <c r="C20" s="94"/>
      <c r="D20" s="154"/>
      <c r="E20" s="64" t="str">
        <f>IF(D20="","",LOOKUP(D20,概要と通り!$G$24:$G$54,概要と通り!$H$24:$H$54))</f>
        <v/>
      </c>
      <c r="F20" s="154"/>
      <c r="G20" s="155"/>
      <c r="H20" s="64" t="str">
        <f t="shared" si="3"/>
        <v/>
      </c>
      <c r="I20" s="156"/>
      <c r="J20" s="64" t="str">
        <f t="shared" si="4"/>
        <v/>
      </c>
      <c r="K20" s="157"/>
      <c r="L20" s="64" t="str">
        <f t="shared" si="5"/>
        <v/>
      </c>
      <c r="M20" s="83" t="str">
        <f t="shared" si="0"/>
        <v/>
      </c>
      <c r="N20" s="13" t="str">
        <f>IF(M20="","",LOOKUP(D20,概要と通り!$G$24:$G$54,概要と通り!$J$24:$J$54))</f>
        <v/>
      </c>
      <c r="O20" s="13" t="str">
        <f t="shared" si="6"/>
        <v/>
      </c>
      <c r="P20" s="13" t="str">
        <f t="shared" si="1"/>
        <v/>
      </c>
      <c r="R20" s="71"/>
      <c r="S20" s="71"/>
      <c r="T20" s="94"/>
      <c r="U20" s="154"/>
      <c r="V20" s="64" t="str">
        <f>IF(U20="","",LOOKUP(U20,概要と通り!$A$24:$A$54,概要と通り!$B$24:$B$54))</f>
        <v/>
      </c>
      <c r="W20" s="154"/>
      <c r="X20" s="155"/>
      <c r="Y20" s="64" t="str">
        <f t="shared" si="7"/>
        <v/>
      </c>
      <c r="Z20" s="156"/>
      <c r="AA20" s="64" t="str">
        <f t="shared" si="8"/>
        <v/>
      </c>
      <c r="AB20" s="158"/>
      <c r="AC20" s="63" t="str">
        <f t="shared" si="9"/>
        <v/>
      </c>
      <c r="AD20" s="83" t="str">
        <f t="shared" si="2"/>
        <v/>
      </c>
      <c r="AE20" s="13" t="str">
        <f>IF(AD20="","",LOOKUP(U20,概要と通り!$A$24:$A$54,概要と通り!$D$24:$D$54))</f>
        <v/>
      </c>
      <c r="AF20" s="13" t="str">
        <f t="shared" si="10"/>
        <v/>
      </c>
      <c r="AG20" s="13" t="str">
        <f t="shared" si="11"/>
        <v/>
      </c>
    </row>
    <row r="21" spans="1:33">
      <c r="A21" s="71"/>
      <c r="B21" s="71"/>
      <c r="C21" s="94"/>
      <c r="D21" s="154"/>
      <c r="E21" s="64" t="str">
        <f>IF(D21="","",LOOKUP(D21,概要と通り!$G$24:$G$54,概要と通り!$H$24:$H$54))</f>
        <v/>
      </c>
      <c r="F21" s="154"/>
      <c r="G21" s="155"/>
      <c r="H21" s="64" t="str">
        <f t="shared" si="3"/>
        <v/>
      </c>
      <c r="I21" s="156"/>
      <c r="J21" s="64" t="str">
        <f t="shared" si="4"/>
        <v/>
      </c>
      <c r="K21" s="157"/>
      <c r="L21" s="64" t="str">
        <f t="shared" si="5"/>
        <v/>
      </c>
      <c r="M21" s="83" t="str">
        <f t="shared" si="0"/>
        <v/>
      </c>
      <c r="N21" s="13" t="str">
        <f>IF(M21="","",LOOKUP(D21,概要と通り!$G$24:$G$54,概要と通り!$J$24:$J$54))</f>
        <v/>
      </c>
      <c r="O21" s="13" t="str">
        <f t="shared" si="6"/>
        <v/>
      </c>
      <c r="P21" s="13" t="str">
        <f t="shared" si="1"/>
        <v/>
      </c>
      <c r="R21" s="71"/>
      <c r="S21" s="71"/>
      <c r="T21" s="94"/>
      <c r="U21" s="154"/>
      <c r="V21" s="64" t="str">
        <f>IF(U21="","",LOOKUP(U21,概要と通り!$A$24:$A$54,概要と通り!$B$24:$B$54))</f>
        <v/>
      </c>
      <c r="W21" s="154"/>
      <c r="X21" s="155"/>
      <c r="Y21" s="64" t="str">
        <f t="shared" si="7"/>
        <v/>
      </c>
      <c r="Z21" s="156"/>
      <c r="AA21" s="64" t="str">
        <f t="shared" si="8"/>
        <v/>
      </c>
      <c r="AB21" s="158"/>
      <c r="AC21" s="63" t="str">
        <f t="shared" si="9"/>
        <v/>
      </c>
      <c r="AD21" s="83" t="str">
        <f t="shared" si="2"/>
        <v/>
      </c>
      <c r="AE21" s="13" t="str">
        <f>IF(AD21="","",LOOKUP(U21,概要と通り!$A$24:$A$54,概要と通り!$D$24:$D$54))</f>
        <v/>
      </c>
      <c r="AF21" s="13" t="str">
        <f t="shared" si="10"/>
        <v/>
      </c>
      <c r="AG21" s="13" t="str">
        <f t="shared" si="11"/>
        <v/>
      </c>
    </row>
    <row r="22" spans="1:33">
      <c r="A22" s="71"/>
      <c r="B22" s="71"/>
      <c r="C22" s="94"/>
      <c r="D22" s="154"/>
      <c r="E22" s="64" t="str">
        <f>IF(D22="","",LOOKUP(D22,概要と通り!$G$24:$G$54,概要と通り!$H$24:$H$54))</f>
        <v/>
      </c>
      <c r="F22" s="154"/>
      <c r="G22" s="155"/>
      <c r="H22" s="64" t="str">
        <f t="shared" si="3"/>
        <v/>
      </c>
      <c r="I22" s="156"/>
      <c r="J22" s="64" t="str">
        <f t="shared" si="4"/>
        <v/>
      </c>
      <c r="K22" s="157"/>
      <c r="L22" s="64" t="str">
        <f t="shared" si="5"/>
        <v/>
      </c>
      <c r="M22" s="83" t="str">
        <f t="shared" si="0"/>
        <v/>
      </c>
      <c r="N22" s="13" t="str">
        <f>IF(M22="","",LOOKUP(D22,概要と通り!$G$24:$G$54,概要と通り!$J$24:$J$54))</f>
        <v/>
      </c>
      <c r="O22" s="13" t="str">
        <f t="shared" si="6"/>
        <v/>
      </c>
      <c r="P22" s="13" t="str">
        <f t="shared" si="1"/>
        <v/>
      </c>
      <c r="R22" s="71"/>
      <c r="S22" s="71"/>
      <c r="T22" s="94"/>
      <c r="U22" s="154"/>
      <c r="V22" s="64" t="str">
        <f>IF(U22="","",LOOKUP(U22,概要と通り!$A$24:$A$54,概要と通り!$B$24:$B$54))</f>
        <v/>
      </c>
      <c r="W22" s="154"/>
      <c r="X22" s="155"/>
      <c r="Y22" s="64" t="str">
        <f t="shared" si="7"/>
        <v/>
      </c>
      <c r="Z22" s="156"/>
      <c r="AA22" s="64" t="str">
        <f t="shared" si="8"/>
        <v/>
      </c>
      <c r="AB22" s="158"/>
      <c r="AC22" s="63" t="str">
        <f t="shared" si="9"/>
        <v/>
      </c>
      <c r="AD22" s="83" t="str">
        <f t="shared" si="2"/>
        <v/>
      </c>
      <c r="AE22" s="13" t="str">
        <f>IF(AD22="","",LOOKUP(U22,概要と通り!$A$24:$A$54,概要と通り!$D$24:$D$54))</f>
        <v/>
      </c>
      <c r="AF22" s="13" t="str">
        <f t="shared" si="10"/>
        <v/>
      </c>
      <c r="AG22" s="13" t="str">
        <f t="shared" si="11"/>
        <v/>
      </c>
    </row>
    <row r="23" spans="1:33">
      <c r="A23" s="71"/>
      <c r="B23" s="71"/>
      <c r="C23" s="94"/>
      <c r="D23" s="154"/>
      <c r="E23" s="64" t="str">
        <f>IF(D23="","",LOOKUP(D23,概要と通り!$G$24:$G$54,概要と通り!$H$24:$H$54))</f>
        <v/>
      </c>
      <c r="F23" s="154"/>
      <c r="G23" s="155"/>
      <c r="H23" s="64" t="str">
        <f t="shared" si="3"/>
        <v/>
      </c>
      <c r="I23" s="156"/>
      <c r="J23" s="64" t="str">
        <f t="shared" si="4"/>
        <v/>
      </c>
      <c r="K23" s="157"/>
      <c r="L23" s="64" t="str">
        <f t="shared" si="5"/>
        <v/>
      </c>
      <c r="M23" s="83" t="str">
        <f t="shared" si="0"/>
        <v/>
      </c>
      <c r="N23" s="13" t="str">
        <f>IF(M23="","",LOOKUP(D23,概要と通り!$G$24:$G$54,概要と通り!$J$24:$J$54))</f>
        <v/>
      </c>
      <c r="O23" s="13" t="str">
        <f t="shared" si="6"/>
        <v/>
      </c>
      <c r="P23" s="13" t="str">
        <f t="shared" si="1"/>
        <v/>
      </c>
      <c r="R23" s="71"/>
      <c r="S23" s="71"/>
      <c r="T23" s="94"/>
      <c r="U23" s="154"/>
      <c r="V23" s="64" t="str">
        <f>IF(U23="","",LOOKUP(U23,概要と通り!$A$24:$A$54,概要と通り!$B$24:$B$54))</f>
        <v/>
      </c>
      <c r="W23" s="154"/>
      <c r="X23" s="155"/>
      <c r="Y23" s="64" t="str">
        <f t="shared" si="7"/>
        <v/>
      </c>
      <c r="Z23" s="156"/>
      <c r="AA23" s="64" t="str">
        <f t="shared" si="8"/>
        <v/>
      </c>
      <c r="AB23" s="158"/>
      <c r="AC23" s="63" t="str">
        <f t="shared" si="9"/>
        <v/>
      </c>
      <c r="AD23" s="83" t="str">
        <f t="shared" si="2"/>
        <v/>
      </c>
      <c r="AE23" s="13" t="str">
        <f>IF(AD23="","",LOOKUP(U23,概要と通り!$A$24:$A$54,概要と通り!$D$24:$D$54))</f>
        <v/>
      </c>
      <c r="AF23" s="13" t="str">
        <f t="shared" si="10"/>
        <v/>
      </c>
      <c r="AG23" s="13" t="str">
        <f t="shared" si="11"/>
        <v/>
      </c>
    </row>
    <row r="24" spans="1:33">
      <c r="A24" s="71"/>
      <c r="B24" s="71"/>
      <c r="C24" s="94"/>
      <c r="D24" s="154"/>
      <c r="E24" s="64" t="str">
        <f>IF(D24="","",LOOKUP(D24,概要と通り!$G$24:$G$54,概要と通り!$H$24:$H$54))</f>
        <v/>
      </c>
      <c r="F24" s="154"/>
      <c r="G24" s="155"/>
      <c r="H24" s="64" t="str">
        <f t="shared" si="3"/>
        <v/>
      </c>
      <c r="I24" s="156"/>
      <c r="J24" s="64" t="str">
        <f t="shared" si="4"/>
        <v/>
      </c>
      <c r="K24" s="157"/>
      <c r="L24" s="64" t="str">
        <f t="shared" si="5"/>
        <v/>
      </c>
      <c r="M24" s="83" t="str">
        <f t="shared" si="0"/>
        <v/>
      </c>
      <c r="N24" s="13" t="str">
        <f>IF(M24="","",LOOKUP(D24,概要と通り!$G$24:$G$54,概要と通り!$J$24:$J$54))</f>
        <v/>
      </c>
      <c r="O24" s="13" t="str">
        <f t="shared" si="6"/>
        <v/>
      </c>
      <c r="P24" s="13" t="str">
        <f t="shared" si="1"/>
        <v/>
      </c>
      <c r="R24" s="71"/>
      <c r="S24" s="71"/>
      <c r="T24" s="94"/>
      <c r="U24" s="154"/>
      <c r="V24" s="64" t="str">
        <f>IF(U24="","",LOOKUP(U24,概要と通り!$A$24:$A$54,概要と通り!$B$24:$B$54))</f>
        <v/>
      </c>
      <c r="W24" s="154"/>
      <c r="X24" s="155"/>
      <c r="Y24" s="64" t="str">
        <f t="shared" si="7"/>
        <v/>
      </c>
      <c r="Z24" s="156"/>
      <c r="AA24" s="64" t="str">
        <f t="shared" si="8"/>
        <v/>
      </c>
      <c r="AB24" s="158"/>
      <c r="AC24" s="63" t="str">
        <f t="shared" si="9"/>
        <v/>
      </c>
      <c r="AD24" s="83" t="str">
        <f t="shared" si="2"/>
        <v/>
      </c>
      <c r="AE24" s="13" t="str">
        <f>IF(AD24="","",LOOKUP(U24,概要と通り!$A$24:$A$54,概要と通り!$D$24:$D$54))</f>
        <v/>
      </c>
      <c r="AF24" s="13" t="str">
        <f t="shared" si="10"/>
        <v/>
      </c>
      <c r="AG24" s="13" t="str">
        <f t="shared" si="11"/>
        <v/>
      </c>
    </row>
    <row r="25" spans="1:33">
      <c r="A25" s="71"/>
      <c r="B25" s="71"/>
      <c r="C25" s="94"/>
      <c r="D25" s="154"/>
      <c r="E25" s="64" t="str">
        <f>IF(D25="","",LOOKUP(D25,概要と通り!$G$24:$G$54,概要と通り!$H$24:$H$54))</f>
        <v/>
      </c>
      <c r="F25" s="154"/>
      <c r="G25" s="155"/>
      <c r="H25" s="64" t="str">
        <f t="shared" si="3"/>
        <v/>
      </c>
      <c r="I25" s="156"/>
      <c r="J25" s="64" t="str">
        <f t="shared" si="4"/>
        <v/>
      </c>
      <c r="K25" s="157"/>
      <c r="L25" s="64" t="str">
        <f t="shared" si="5"/>
        <v/>
      </c>
      <c r="M25" s="83" t="str">
        <f t="shared" si="0"/>
        <v/>
      </c>
      <c r="N25" s="13" t="str">
        <f>IF(M25="","",LOOKUP(D25,概要と通り!$G$24:$G$54,概要と通り!$J$24:$J$54))</f>
        <v/>
      </c>
      <c r="O25" s="13" t="str">
        <f t="shared" si="6"/>
        <v/>
      </c>
      <c r="P25" s="13" t="str">
        <f t="shared" si="1"/>
        <v/>
      </c>
      <c r="R25" s="71"/>
      <c r="S25" s="71"/>
      <c r="T25" s="94"/>
      <c r="U25" s="154"/>
      <c r="V25" s="64" t="str">
        <f>IF(U25="","",LOOKUP(U25,概要と通り!$A$24:$A$54,概要と通り!$B$24:$B$54))</f>
        <v/>
      </c>
      <c r="W25" s="154"/>
      <c r="X25" s="155"/>
      <c r="Y25" s="64" t="str">
        <f t="shared" si="7"/>
        <v/>
      </c>
      <c r="Z25" s="156"/>
      <c r="AA25" s="64" t="str">
        <f t="shared" si="8"/>
        <v/>
      </c>
      <c r="AB25" s="158"/>
      <c r="AC25" s="63" t="str">
        <f t="shared" si="9"/>
        <v/>
      </c>
      <c r="AD25" s="83" t="str">
        <f t="shared" si="2"/>
        <v/>
      </c>
      <c r="AE25" s="13" t="str">
        <f>IF(AD25="","",LOOKUP(U25,概要と通り!$A$24:$A$54,概要と通り!$D$24:$D$54))</f>
        <v/>
      </c>
      <c r="AF25" s="13" t="str">
        <f t="shared" si="10"/>
        <v/>
      </c>
      <c r="AG25" s="13" t="str">
        <f t="shared" si="11"/>
        <v/>
      </c>
    </row>
    <row r="26" spans="1:33">
      <c r="A26" s="71"/>
      <c r="B26" s="71"/>
      <c r="C26" s="94"/>
      <c r="D26" s="154"/>
      <c r="E26" s="64" t="str">
        <f>IF(D26="","",LOOKUP(D26,概要と通り!$G$24:$G$54,概要と通り!$H$24:$H$54))</f>
        <v/>
      </c>
      <c r="F26" s="154"/>
      <c r="G26" s="155"/>
      <c r="H26" s="64" t="str">
        <f t="shared" si="3"/>
        <v/>
      </c>
      <c r="I26" s="156"/>
      <c r="J26" s="64" t="str">
        <f t="shared" si="4"/>
        <v/>
      </c>
      <c r="K26" s="157"/>
      <c r="L26" s="64" t="str">
        <f t="shared" si="5"/>
        <v/>
      </c>
      <c r="M26" s="83" t="str">
        <f t="shared" si="0"/>
        <v/>
      </c>
      <c r="N26" s="13" t="str">
        <f>IF(M26="","",LOOKUP(D26,概要と通り!$G$24:$G$54,概要と通り!$J$24:$J$54))</f>
        <v/>
      </c>
      <c r="O26" s="13" t="str">
        <f t="shared" si="6"/>
        <v/>
      </c>
      <c r="P26" s="13" t="str">
        <f t="shared" si="1"/>
        <v/>
      </c>
      <c r="R26" s="71"/>
      <c r="S26" s="71"/>
      <c r="T26" s="94"/>
      <c r="U26" s="154"/>
      <c r="V26" s="64" t="str">
        <f>IF(U26="","",LOOKUP(U26,概要と通り!$A$24:$A$54,概要と通り!$B$24:$B$54))</f>
        <v/>
      </c>
      <c r="W26" s="154"/>
      <c r="X26" s="155"/>
      <c r="Y26" s="64" t="str">
        <f t="shared" si="7"/>
        <v/>
      </c>
      <c r="Z26" s="156"/>
      <c r="AA26" s="64" t="str">
        <f t="shared" si="8"/>
        <v/>
      </c>
      <c r="AB26" s="158"/>
      <c r="AC26" s="63" t="str">
        <f t="shared" si="9"/>
        <v/>
      </c>
      <c r="AD26" s="83" t="str">
        <f t="shared" si="2"/>
        <v/>
      </c>
      <c r="AE26" s="13" t="str">
        <f>IF(AD26="","",LOOKUP(U26,概要と通り!$A$24:$A$54,概要と通り!$D$24:$D$54))</f>
        <v/>
      </c>
      <c r="AF26" s="13" t="str">
        <f t="shared" si="10"/>
        <v/>
      </c>
      <c r="AG26" s="13" t="str">
        <f t="shared" si="11"/>
        <v/>
      </c>
    </row>
    <row r="27" spans="1:33">
      <c r="A27" s="71"/>
      <c r="B27" s="71"/>
      <c r="C27" s="94"/>
      <c r="D27" s="154"/>
      <c r="E27" s="64" t="str">
        <f>IF(D27="","",LOOKUP(D27,概要と通り!$G$24:$G$54,概要と通り!$H$24:$H$54))</f>
        <v/>
      </c>
      <c r="F27" s="154"/>
      <c r="G27" s="155"/>
      <c r="H27" s="64" t="str">
        <f t="shared" si="3"/>
        <v/>
      </c>
      <c r="I27" s="156"/>
      <c r="J27" s="64" t="str">
        <f t="shared" si="4"/>
        <v/>
      </c>
      <c r="K27" s="157"/>
      <c r="L27" s="64" t="str">
        <f t="shared" si="5"/>
        <v/>
      </c>
      <c r="M27" s="83" t="str">
        <f t="shared" si="0"/>
        <v/>
      </c>
      <c r="N27" s="13" t="str">
        <f>IF(M27="","",LOOKUP(D27,概要と通り!$G$24:$G$54,概要と通り!$J$24:$J$54))</f>
        <v/>
      </c>
      <c r="O27" s="13" t="str">
        <f t="shared" si="6"/>
        <v/>
      </c>
      <c r="P27" s="13" t="str">
        <f t="shared" si="1"/>
        <v/>
      </c>
      <c r="R27" s="71"/>
      <c r="S27" s="71"/>
      <c r="T27" s="94"/>
      <c r="U27" s="154"/>
      <c r="V27" s="64" t="str">
        <f>IF(U27="","",LOOKUP(U27,概要と通り!$A$24:$A$54,概要と通り!$B$24:$B$54))</f>
        <v/>
      </c>
      <c r="W27" s="154"/>
      <c r="X27" s="155"/>
      <c r="Y27" s="64" t="str">
        <f t="shared" si="7"/>
        <v/>
      </c>
      <c r="Z27" s="156"/>
      <c r="AA27" s="64" t="str">
        <f t="shared" si="8"/>
        <v/>
      </c>
      <c r="AB27" s="158"/>
      <c r="AC27" s="63" t="str">
        <f t="shared" si="9"/>
        <v/>
      </c>
      <c r="AD27" s="83" t="str">
        <f t="shared" si="2"/>
        <v/>
      </c>
      <c r="AE27" s="13" t="str">
        <f>IF(AD27="","",LOOKUP(U27,概要と通り!$A$24:$A$54,概要と通り!$D$24:$D$54))</f>
        <v/>
      </c>
      <c r="AF27" s="13" t="str">
        <f t="shared" si="10"/>
        <v/>
      </c>
      <c r="AG27" s="13" t="str">
        <f t="shared" si="11"/>
        <v/>
      </c>
    </row>
    <row r="28" spans="1:33">
      <c r="A28" s="71"/>
      <c r="B28" s="71"/>
      <c r="C28" s="94"/>
      <c r="D28" s="154"/>
      <c r="E28" s="64" t="str">
        <f>IF(D28="","",LOOKUP(D28,概要と通り!$G$24:$G$54,概要と通り!$H$24:$H$54))</f>
        <v/>
      </c>
      <c r="F28" s="154"/>
      <c r="G28" s="155"/>
      <c r="H28" s="64" t="str">
        <f t="shared" si="3"/>
        <v/>
      </c>
      <c r="I28" s="156"/>
      <c r="J28" s="64" t="str">
        <f t="shared" si="4"/>
        <v/>
      </c>
      <c r="K28" s="157"/>
      <c r="L28" s="64" t="str">
        <f t="shared" si="5"/>
        <v/>
      </c>
      <c r="M28" s="83" t="str">
        <f t="shared" si="0"/>
        <v/>
      </c>
      <c r="N28" s="13" t="str">
        <f>IF(M28="","",LOOKUP(D28,概要と通り!$G$24:$G$54,概要と通り!$J$24:$J$54))</f>
        <v/>
      </c>
      <c r="O28" s="13" t="str">
        <f t="shared" si="6"/>
        <v/>
      </c>
      <c r="P28" s="13" t="str">
        <f t="shared" si="1"/>
        <v/>
      </c>
      <c r="R28" s="71"/>
      <c r="S28" s="71"/>
      <c r="T28" s="94"/>
      <c r="U28" s="154"/>
      <c r="V28" s="64" t="str">
        <f>IF(U28="","",LOOKUP(U28,概要と通り!$A$24:$A$54,概要と通り!$B$24:$B$54))</f>
        <v/>
      </c>
      <c r="W28" s="154"/>
      <c r="X28" s="155"/>
      <c r="Y28" s="64" t="str">
        <f t="shared" si="7"/>
        <v/>
      </c>
      <c r="Z28" s="156"/>
      <c r="AA28" s="64" t="str">
        <f t="shared" si="8"/>
        <v/>
      </c>
      <c r="AB28" s="158"/>
      <c r="AC28" s="63" t="str">
        <f t="shared" si="9"/>
        <v/>
      </c>
      <c r="AD28" s="83" t="str">
        <f t="shared" si="2"/>
        <v/>
      </c>
      <c r="AE28" s="13" t="str">
        <f>IF(AD28="","",LOOKUP(U28,概要と通り!$A$24:$A$54,概要と通り!$D$24:$D$54))</f>
        <v/>
      </c>
      <c r="AF28" s="13" t="str">
        <f t="shared" si="10"/>
        <v/>
      </c>
      <c r="AG28" s="13" t="str">
        <f t="shared" si="11"/>
        <v/>
      </c>
    </row>
    <row r="29" spans="1:33">
      <c r="A29" s="71"/>
      <c r="B29" s="71"/>
      <c r="C29" s="94"/>
      <c r="D29" s="154"/>
      <c r="E29" s="64" t="str">
        <f>IF(D29="","",LOOKUP(D29,概要と通り!$G$24:$G$54,概要と通り!$H$24:$H$54))</f>
        <v/>
      </c>
      <c r="F29" s="154"/>
      <c r="G29" s="155"/>
      <c r="H29" s="64" t="str">
        <f t="shared" si="3"/>
        <v/>
      </c>
      <c r="I29" s="156"/>
      <c r="J29" s="64" t="str">
        <f t="shared" si="4"/>
        <v/>
      </c>
      <c r="K29" s="157"/>
      <c r="L29" s="64" t="str">
        <f t="shared" si="5"/>
        <v/>
      </c>
      <c r="M29" s="83" t="str">
        <f t="shared" si="0"/>
        <v/>
      </c>
      <c r="N29" s="13" t="str">
        <f>IF(M29="","",LOOKUP(D29,概要と通り!$G$24:$G$54,概要と通り!$J$24:$J$54))</f>
        <v/>
      </c>
      <c r="O29" s="13" t="str">
        <f t="shared" si="6"/>
        <v/>
      </c>
      <c r="P29" s="13" t="str">
        <f t="shared" si="1"/>
        <v/>
      </c>
      <c r="R29" s="71"/>
      <c r="S29" s="71"/>
      <c r="T29" s="94"/>
      <c r="U29" s="154"/>
      <c r="V29" s="64" t="str">
        <f>IF(U29="","",LOOKUP(U29,概要と通り!$A$24:$A$54,概要と通り!$B$24:$B$54))</f>
        <v/>
      </c>
      <c r="W29" s="154"/>
      <c r="X29" s="155"/>
      <c r="Y29" s="64" t="str">
        <f t="shared" si="7"/>
        <v/>
      </c>
      <c r="Z29" s="156"/>
      <c r="AA29" s="64" t="str">
        <f t="shared" si="8"/>
        <v/>
      </c>
      <c r="AB29" s="158"/>
      <c r="AC29" s="63" t="str">
        <f t="shared" si="9"/>
        <v/>
      </c>
      <c r="AD29" s="83" t="str">
        <f t="shared" si="2"/>
        <v/>
      </c>
      <c r="AE29" s="13" t="str">
        <f>IF(AD29="","",LOOKUP(U29,概要と通り!$A$24:$A$54,概要と通り!$D$24:$D$54))</f>
        <v/>
      </c>
      <c r="AF29" s="13" t="str">
        <f t="shared" si="10"/>
        <v/>
      </c>
      <c r="AG29" s="13" t="str">
        <f t="shared" si="11"/>
        <v/>
      </c>
    </row>
    <row r="30" spans="1:33">
      <c r="A30" s="71"/>
      <c r="B30" s="71"/>
      <c r="C30" s="94"/>
      <c r="D30" s="154"/>
      <c r="E30" s="64" t="str">
        <f>IF(D30="","",LOOKUP(D30,概要と通り!$G$24:$G$54,概要と通り!$H$24:$H$54))</f>
        <v/>
      </c>
      <c r="F30" s="154"/>
      <c r="G30" s="155"/>
      <c r="H30" s="64" t="str">
        <f t="shared" si="3"/>
        <v/>
      </c>
      <c r="I30" s="156"/>
      <c r="J30" s="64" t="str">
        <f t="shared" si="4"/>
        <v/>
      </c>
      <c r="K30" s="157"/>
      <c r="L30" s="64" t="str">
        <f t="shared" si="5"/>
        <v/>
      </c>
      <c r="M30" s="83" t="str">
        <f t="shared" si="0"/>
        <v/>
      </c>
      <c r="N30" s="13" t="str">
        <f>IF(M30="","",LOOKUP(D30,概要と通り!$G$24:$G$54,概要と通り!$J$24:$J$54))</f>
        <v/>
      </c>
      <c r="O30" s="13" t="str">
        <f t="shared" si="6"/>
        <v/>
      </c>
      <c r="P30" s="13" t="str">
        <f t="shared" si="1"/>
        <v/>
      </c>
      <c r="R30" s="71"/>
      <c r="S30" s="71"/>
      <c r="T30" s="94"/>
      <c r="U30" s="154"/>
      <c r="V30" s="64" t="str">
        <f>IF(U30="","",LOOKUP(U30,概要と通り!$A$24:$A$54,概要と通り!$B$24:$B$54))</f>
        <v/>
      </c>
      <c r="W30" s="154"/>
      <c r="X30" s="155"/>
      <c r="Y30" s="64" t="str">
        <f t="shared" si="7"/>
        <v/>
      </c>
      <c r="Z30" s="156"/>
      <c r="AA30" s="64" t="str">
        <f t="shared" si="8"/>
        <v/>
      </c>
      <c r="AB30" s="158"/>
      <c r="AC30" s="63" t="str">
        <f t="shared" si="9"/>
        <v/>
      </c>
      <c r="AD30" s="83" t="str">
        <f t="shared" si="2"/>
        <v/>
      </c>
      <c r="AE30" s="13" t="str">
        <f>IF(AD30="","",LOOKUP(U30,概要と通り!$A$24:$A$54,概要と通り!$D$24:$D$54))</f>
        <v/>
      </c>
      <c r="AF30" s="13" t="str">
        <f t="shared" si="10"/>
        <v/>
      </c>
      <c r="AG30" s="13" t="str">
        <f t="shared" si="11"/>
        <v/>
      </c>
    </row>
    <row r="31" spans="1:33">
      <c r="A31" s="71"/>
      <c r="B31" s="71"/>
      <c r="C31" s="94"/>
      <c r="D31" s="154"/>
      <c r="E31" s="64" t="str">
        <f>IF(D31="","",LOOKUP(D31,概要と通り!$G$24:$G$54,概要と通り!$H$24:$H$54))</f>
        <v/>
      </c>
      <c r="F31" s="154"/>
      <c r="G31" s="155"/>
      <c r="H31" s="64" t="str">
        <f t="shared" si="3"/>
        <v/>
      </c>
      <c r="I31" s="156"/>
      <c r="J31" s="64" t="str">
        <f t="shared" si="4"/>
        <v/>
      </c>
      <c r="K31" s="157"/>
      <c r="L31" s="64" t="str">
        <f t="shared" si="5"/>
        <v/>
      </c>
      <c r="M31" s="83" t="str">
        <f t="shared" si="0"/>
        <v/>
      </c>
      <c r="N31" s="13" t="str">
        <f>IF(M31="","",LOOKUP(D31,概要と通り!$G$24:$G$54,概要と通り!$J$24:$J$54))</f>
        <v/>
      </c>
      <c r="O31" s="13" t="str">
        <f t="shared" si="6"/>
        <v/>
      </c>
      <c r="P31" s="13" t="str">
        <f t="shared" si="1"/>
        <v/>
      </c>
      <c r="R31" s="71"/>
      <c r="S31" s="71"/>
      <c r="T31" s="94"/>
      <c r="U31" s="154"/>
      <c r="V31" s="64" t="str">
        <f>IF(U31="","",LOOKUP(U31,概要と通り!$A$24:$A$54,概要と通り!$B$24:$B$54))</f>
        <v/>
      </c>
      <c r="W31" s="154"/>
      <c r="X31" s="155"/>
      <c r="Y31" s="64" t="str">
        <f t="shared" si="7"/>
        <v/>
      </c>
      <c r="Z31" s="156"/>
      <c r="AA31" s="64" t="str">
        <f t="shared" si="8"/>
        <v/>
      </c>
      <c r="AB31" s="158"/>
      <c r="AC31" s="63" t="str">
        <f t="shared" si="9"/>
        <v/>
      </c>
      <c r="AD31" s="83" t="str">
        <f t="shared" si="2"/>
        <v/>
      </c>
      <c r="AE31" s="13" t="str">
        <f>IF(AD31="","",LOOKUP(U31,概要と通り!$A$24:$A$54,概要と通り!$D$24:$D$54))</f>
        <v/>
      </c>
      <c r="AF31" s="13" t="str">
        <f t="shared" si="10"/>
        <v/>
      </c>
      <c r="AG31" s="13" t="str">
        <f t="shared" si="11"/>
        <v/>
      </c>
    </row>
    <row r="32" spans="1:33">
      <c r="A32" s="71"/>
      <c r="B32" s="71"/>
      <c r="C32" s="94"/>
      <c r="D32" s="154"/>
      <c r="E32" s="64" t="str">
        <f>IF(D32="","",LOOKUP(D32,概要と通り!$G$24:$G$54,概要と通り!$H$24:$H$54))</f>
        <v/>
      </c>
      <c r="F32" s="154"/>
      <c r="G32" s="155"/>
      <c r="H32" s="64" t="str">
        <f t="shared" si="3"/>
        <v/>
      </c>
      <c r="I32" s="156"/>
      <c r="J32" s="64" t="str">
        <f t="shared" si="4"/>
        <v/>
      </c>
      <c r="K32" s="157"/>
      <c r="L32" s="64" t="str">
        <f t="shared" si="5"/>
        <v/>
      </c>
      <c r="M32" s="83" t="str">
        <f t="shared" si="0"/>
        <v/>
      </c>
      <c r="N32" s="13" t="str">
        <f>IF(M32="","",LOOKUP(D32,概要と通り!$G$24:$G$54,概要と通り!$J$24:$J$54))</f>
        <v/>
      </c>
      <c r="O32" s="13" t="str">
        <f t="shared" si="6"/>
        <v/>
      </c>
      <c r="P32" s="13" t="str">
        <f t="shared" si="1"/>
        <v/>
      </c>
      <c r="R32" s="71"/>
      <c r="S32" s="71"/>
      <c r="T32" s="94"/>
      <c r="U32" s="154"/>
      <c r="V32" s="64" t="str">
        <f>IF(U32="","",LOOKUP(U32,概要と通り!$A$24:$A$54,概要と通り!$B$24:$B$54))</f>
        <v/>
      </c>
      <c r="W32" s="154"/>
      <c r="X32" s="155"/>
      <c r="Y32" s="64" t="str">
        <f t="shared" si="7"/>
        <v/>
      </c>
      <c r="Z32" s="156"/>
      <c r="AA32" s="64" t="str">
        <f t="shared" si="8"/>
        <v/>
      </c>
      <c r="AB32" s="158"/>
      <c r="AC32" s="63" t="str">
        <f t="shared" si="9"/>
        <v/>
      </c>
      <c r="AD32" s="83" t="str">
        <f t="shared" si="2"/>
        <v/>
      </c>
      <c r="AE32" s="13" t="str">
        <f>IF(AD32="","",LOOKUP(U32,概要と通り!$A$24:$A$54,概要と通り!$D$24:$D$54))</f>
        <v/>
      </c>
      <c r="AF32" s="13" t="str">
        <f t="shared" si="10"/>
        <v/>
      </c>
      <c r="AG32" s="13" t="str">
        <f t="shared" si="11"/>
        <v/>
      </c>
    </row>
    <row r="33" spans="1:33">
      <c r="A33" s="71"/>
      <c r="B33" s="71"/>
      <c r="C33" s="94"/>
      <c r="D33" s="154"/>
      <c r="E33" s="64" t="str">
        <f>IF(D33="","",LOOKUP(D33,概要と通り!$G$24:$G$54,概要と通り!$H$24:$H$54))</f>
        <v/>
      </c>
      <c r="F33" s="154"/>
      <c r="G33" s="155"/>
      <c r="H33" s="64" t="str">
        <f t="shared" si="3"/>
        <v/>
      </c>
      <c r="I33" s="156"/>
      <c r="J33" s="64" t="str">
        <f t="shared" si="4"/>
        <v/>
      </c>
      <c r="K33" s="157"/>
      <c r="L33" s="64" t="str">
        <f t="shared" si="5"/>
        <v/>
      </c>
      <c r="M33" s="83" t="str">
        <f t="shared" si="0"/>
        <v/>
      </c>
      <c r="N33" s="13" t="str">
        <f>IF(M33="","",LOOKUP(D33,概要と通り!$G$24:$G$54,概要と通り!$J$24:$J$54))</f>
        <v/>
      </c>
      <c r="O33" s="13" t="str">
        <f t="shared" si="6"/>
        <v/>
      </c>
      <c r="P33" s="13" t="str">
        <f t="shared" si="1"/>
        <v/>
      </c>
      <c r="R33" s="71"/>
      <c r="S33" s="71"/>
      <c r="T33" s="94"/>
      <c r="U33" s="154"/>
      <c r="V33" s="64" t="str">
        <f>IF(U33="","",LOOKUP(U33,概要と通り!$A$24:$A$54,概要と通り!$B$24:$B$54))</f>
        <v/>
      </c>
      <c r="W33" s="154"/>
      <c r="X33" s="155"/>
      <c r="Y33" s="64" t="str">
        <f t="shared" si="7"/>
        <v/>
      </c>
      <c r="Z33" s="156"/>
      <c r="AA33" s="64" t="str">
        <f t="shared" si="8"/>
        <v/>
      </c>
      <c r="AB33" s="158"/>
      <c r="AC33" s="63" t="str">
        <f t="shared" si="9"/>
        <v/>
      </c>
      <c r="AD33" s="83" t="str">
        <f t="shared" si="2"/>
        <v/>
      </c>
      <c r="AE33" s="13" t="str">
        <f>IF(AD33="","",LOOKUP(U33,概要と通り!$A$24:$A$54,概要と通り!$D$24:$D$54))</f>
        <v/>
      </c>
      <c r="AF33" s="13" t="str">
        <f t="shared" si="10"/>
        <v/>
      </c>
      <c r="AG33" s="13" t="str">
        <f t="shared" si="11"/>
        <v/>
      </c>
    </row>
    <row r="34" spans="1:33">
      <c r="A34" s="71"/>
      <c r="B34" s="71"/>
      <c r="C34" s="94"/>
      <c r="D34" s="154"/>
      <c r="E34" s="64" t="str">
        <f>IF(D34="","",LOOKUP(D34,概要と通り!$G$24:$G$54,概要と通り!$H$24:$H$54))</f>
        <v/>
      </c>
      <c r="F34" s="154"/>
      <c r="G34" s="155"/>
      <c r="H34" s="64" t="str">
        <f t="shared" si="3"/>
        <v/>
      </c>
      <c r="I34" s="156"/>
      <c r="J34" s="64" t="str">
        <f t="shared" si="4"/>
        <v/>
      </c>
      <c r="K34" s="157"/>
      <c r="L34" s="64" t="str">
        <f t="shared" si="5"/>
        <v/>
      </c>
      <c r="M34" s="83" t="str">
        <f t="shared" si="0"/>
        <v/>
      </c>
      <c r="N34" s="13" t="str">
        <f>IF(M34="","",LOOKUP(D34,概要と通り!$G$24:$G$54,概要と通り!$J$24:$J$54))</f>
        <v/>
      </c>
      <c r="O34" s="13" t="str">
        <f t="shared" si="6"/>
        <v/>
      </c>
      <c r="P34" s="13" t="str">
        <f t="shared" si="1"/>
        <v/>
      </c>
      <c r="R34" s="71"/>
      <c r="S34" s="71"/>
      <c r="T34" s="94"/>
      <c r="U34" s="154"/>
      <c r="V34" s="64" t="str">
        <f>IF(U34="","",LOOKUP(U34,概要と通り!$A$24:$A$54,概要と通り!$B$24:$B$54))</f>
        <v/>
      </c>
      <c r="W34" s="154"/>
      <c r="X34" s="155"/>
      <c r="Y34" s="64" t="str">
        <f t="shared" si="7"/>
        <v/>
      </c>
      <c r="Z34" s="156"/>
      <c r="AA34" s="64" t="str">
        <f t="shared" si="8"/>
        <v/>
      </c>
      <c r="AB34" s="158"/>
      <c r="AC34" s="63" t="str">
        <f t="shared" si="9"/>
        <v/>
      </c>
      <c r="AD34" s="83" t="str">
        <f t="shared" si="2"/>
        <v/>
      </c>
      <c r="AE34" s="13" t="str">
        <f>IF(AD34="","",LOOKUP(U34,概要と通り!$A$24:$A$54,概要と通り!$D$24:$D$54))</f>
        <v/>
      </c>
      <c r="AF34" s="13" t="str">
        <f t="shared" si="10"/>
        <v/>
      </c>
      <c r="AG34" s="13" t="str">
        <f t="shared" si="11"/>
        <v/>
      </c>
    </row>
    <row r="35" spans="1:33">
      <c r="A35" s="71"/>
      <c r="B35" s="71"/>
      <c r="C35" s="94"/>
      <c r="D35" s="154"/>
      <c r="E35" s="64" t="str">
        <f>IF(D35="","",LOOKUP(D35,概要と通り!$G$24:$G$54,概要と通り!$H$24:$H$54))</f>
        <v/>
      </c>
      <c r="F35" s="154"/>
      <c r="G35" s="155"/>
      <c r="H35" s="64" t="str">
        <f t="shared" ref="H35:H40" si="12">IF(D35="","","×")</f>
        <v/>
      </c>
      <c r="I35" s="156"/>
      <c r="J35" s="64" t="str">
        <f t="shared" ref="J35:J40" si="13">IF(D35="","","×")</f>
        <v/>
      </c>
      <c r="K35" s="157"/>
      <c r="L35" s="64" t="str">
        <f t="shared" ref="L35:L40" si="14">IF(D35="","","=")</f>
        <v/>
      </c>
      <c r="M35" s="83" t="str">
        <f t="shared" si="0"/>
        <v/>
      </c>
      <c r="N35" s="13" t="str">
        <f>IF(M35="","",LOOKUP(D35,概要と通り!$G$24:$G$54,概要と通り!$J$24:$J$54))</f>
        <v/>
      </c>
      <c r="O35" s="13" t="str">
        <f t="shared" ref="O35:O40" si="15">IF(M35="","",M35*N35)</f>
        <v/>
      </c>
      <c r="P35" s="13" t="str">
        <f t="shared" si="1"/>
        <v/>
      </c>
      <c r="R35" s="71"/>
      <c r="S35" s="71"/>
      <c r="T35" s="94"/>
      <c r="U35" s="154"/>
      <c r="V35" s="64" t="str">
        <f>IF(U35="","",LOOKUP(U35,概要と通り!$A$24:$A$54,概要と通り!$B$24:$B$54))</f>
        <v/>
      </c>
      <c r="W35" s="154"/>
      <c r="X35" s="155"/>
      <c r="Y35" s="64" t="str">
        <f t="shared" ref="Y35:Y40" si="16">IF(U35="","","×")</f>
        <v/>
      </c>
      <c r="Z35" s="156"/>
      <c r="AA35" s="64" t="str">
        <f t="shared" ref="AA35:AA40" si="17">IF(U35="","","×")</f>
        <v/>
      </c>
      <c r="AB35" s="158"/>
      <c r="AC35" s="63" t="str">
        <f t="shared" ref="AC35:AC40" si="18">IF(U35="","","=")</f>
        <v/>
      </c>
      <c r="AD35" s="83" t="str">
        <f t="shared" si="2"/>
        <v/>
      </c>
      <c r="AE35" s="13" t="str">
        <f>IF(AD35="","",LOOKUP(U35,概要と通り!$A$24:$A$54,概要と通り!$D$24:$D$54))</f>
        <v/>
      </c>
      <c r="AF35" s="13" t="str">
        <f t="shared" ref="AF35:AF40" si="19">IF(AD35="","",AD35*AE35)</f>
        <v/>
      </c>
      <c r="AG35" s="13" t="str">
        <f>IF(AD35="","",AD35*(AE35-$AG$70)^2)</f>
        <v/>
      </c>
    </row>
    <row r="36" spans="1:33">
      <c r="A36" s="71"/>
      <c r="B36" s="71"/>
      <c r="C36" s="94"/>
      <c r="D36" s="154"/>
      <c r="E36" s="64" t="str">
        <f>IF(D36="","",LOOKUP(D36,概要と通り!$G$24:$G$54,概要と通り!$H$24:$H$54))</f>
        <v/>
      </c>
      <c r="F36" s="154"/>
      <c r="G36" s="155"/>
      <c r="H36" s="64" t="str">
        <f t="shared" si="12"/>
        <v/>
      </c>
      <c r="I36" s="156"/>
      <c r="J36" s="64" t="str">
        <f t="shared" si="13"/>
        <v/>
      </c>
      <c r="K36" s="157"/>
      <c r="L36" s="64" t="str">
        <f t="shared" si="14"/>
        <v/>
      </c>
      <c r="M36" s="83" t="str">
        <f t="shared" si="0"/>
        <v/>
      </c>
      <c r="N36" s="13" t="str">
        <f>IF(M36="","",LOOKUP(D36,概要と通り!$G$24:$G$54,概要と通り!$J$24:$J$54))</f>
        <v/>
      </c>
      <c r="O36" s="13" t="str">
        <f t="shared" si="15"/>
        <v/>
      </c>
      <c r="P36" s="13" t="str">
        <f t="shared" si="1"/>
        <v/>
      </c>
      <c r="R36" s="71"/>
      <c r="S36" s="71"/>
      <c r="T36" s="94"/>
      <c r="U36" s="154"/>
      <c r="V36" s="64" t="str">
        <f>IF(U36="","",LOOKUP(U36,概要と通り!$A$24:$A$54,概要と通り!$B$24:$B$54))</f>
        <v/>
      </c>
      <c r="W36" s="154"/>
      <c r="X36" s="155"/>
      <c r="Y36" s="64" t="str">
        <f t="shared" si="16"/>
        <v/>
      </c>
      <c r="Z36" s="156"/>
      <c r="AA36" s="64" t="str">
        <f t="shared" si="17"/>
        <v/>
      </c>
      <c r="AB36" s="158"/>
      <c r="AC36" s="63" t="str">
        <f t="shared" si="18"/>
        <v/>
      </c>
      <c r="AD36" s="83" t="str">
        <f t="shared" si="2"/>
        <v/>
      </c>
      <c r="AE36" s="13" t="str">
        <f>IF(AD36="","",LOOKUP(U36,概要と通り!$A$24:$A$54,概要と通り!$D$24:$D$54))</f>
        <v/>
      </c>
      <c r="AF36" s="13" t="str">
        <f t="shared" si="19"/>
        <v/>
      </c>
      <c r="AG36" s="13" t="str">
        <f t="shared" ref="AG36:AG40" si="20">IF(AD36="","",AD36*(AE36-$AG$70)^2)</f>
        <v/>
      </c>
    </row>
    <row r="37" spans="1:33">
      <c r="A37" s="71"/>
      <c r="B37" s="71"/>
      <c r="C37" s="94"/>
      <c r="D37" s="154"/>
      <c r="E37" s="64" t="str">
        <f>IF(D37="","",LOOKUP(D37,概要と通り!$G$24:$G$54,概要と通り!$H$24:$H$54))</f>
        <v/>
      </c>
      <c r="F37" s="154"/>
      <c r="G37" s="155"/>
      <c r="H37" s="64" t="str">
        <f t="shared" si="12"/>
        <v/>
      </c>
      <c r="I37" s="156"/>
      <c r="J37" s="64" t="str">
        <f t="shared" si="13"/>
        <v/>
      </c>
      <c r="K37" s="157"/>
      <c r="L37" s="64" t="str">
        <f t="shared" si="14"/>
        <v/>
      </c>
      <c r="M37" s="83" t="str">
        <f t="shared" ref="M37:M59" si="21">IF(K37="","",IF(0.0001&gt;ABS(G37*I37*K37/1000),0,ABS(G37*I37*K37/1000)))</f>
        <v/>
      </c>
      <c r="N37" s="13" t="str">
        <f>IF(M37="","",LOOKUP(D37,概要と通り!$G$24:$G$54,概要と通り!$J$24:$J$54))</f>
        <v/>
      </c>
      <c r="O37" s="13" t="str">
        <f t="shared" si="15"/>
        <v/>
      </c>
      <c r="P37" s="13" t="str">
        <f t="shared" ref="P37:P59" si="22">IF(M37="","",M37*(N37-$P$63)^2)</f>
        <v/>
      </c>
      <c r="R37" s="71"/>
      <c r="S37" s="71"/>
      <c r="T37" s="94"/>
      <c r="U37" s="154"/>
      <c r="V37" s="64" t="str">
        <f>IF(U37="","",LOOKUP(U37,概要と通り!$A$24:$A$54,概要と通り!$B$24:$B$54))</f>
        <v/>
      </c>
      <c r="W37" s="154"/>
      <c r="X37" s="155"/>
      <c r="Y37" s="64" t="str">
        <f t="shared" si="16"/>
        <v/>
      </c>
      <c r="Z37" s="156"/>
      <c r="AA37" s="64" t="str">
        <f t="shared" si="17"/>
        <v/>
      </c>
      <c r="AB37" s="158"/>
      <c r="AC37" s="63" t="str">
        <f t="shared" si="18"/>
        <v/>
      </c>
      <c r="AD37" s="83" t="str">
        <f t="shared" ref="AD37:AD59" si="23">IF(AB37="","",IF(0.0001&gt;ABS(X37*Z37*AB37/1000),0,ABS(X37*Z37*AB37/1000)))</f>
        <v/>
      </c>
      <c r="AE37" s="13" t="str">
        <f>IF(AD37="","",LOOKUP(U37,概要と通り!$A$24:$A$54,概要と通り!$D$24:$D$54))</f>
        <v/>
      </c>
      <c r="AF37" s="13" t="str">
        <f t="shared" si="19"/>
        <v/>
      </c>
      <c r="AG37" s="13" t="str">
        <f t="shared" si="20"/>
        <v/>
      </c>
    </row>
    <row r="38" spans="1:33">
      <c r="A38" s="71"/>
      <c r="B38" s="71"/>
      <c r="C38" s="94"/>
      <c r="D38" s="154"/>
      <c r="E38" s="64" t="str">
        <f>IF(D38="","",LOOKUP(D38,概要と通り!$G$24:$G$54,概要と通り!$H$24:$H$54))</f>
        <v/>
      </c>
      <c r="F38" s="154"/>
      <c r="G38" s="155"/>
      <c r="H38" s="64" t="str">
        <f t="shared" si="12"/>
        <v/>
      </c>
      <c r="I38" s="156"/>
      <c r="J38" s="64" t="str">
        <f t="shared" si="13"/>
        <v/>
      </c>
      <c r="K38" s="157"/>
      <c r="L38" s="64" t="str">
        <f t="shared" si="14"/>
        <v/>
      </c>
      <c r="M38" s="83" t="str">
        <f t="shared" si="21"/>
        <v/>
      </c>
      <c r="N38" s="13" t="str">
        <f>IF(M38="","",LOOKUP(D38,概要と通り!$G$24:$G$54,概要と通り!$J$24:$J$54))</f>
        <v/>
      </c>
      <c r="O38" s="13" t="str">
        <f t="shared" si="15"/>
        <v/>
      </c>
      <c r="P38" s="13" t="str">
        <f t="shared" si="22"/>
        <v/>
      </c>
      <c r="R38" s="71"/>
      <c r="S38" s="71"/>
      <c r="T38" s="94"/>
      <c r="U38" s="154"/>
      <c r="V38" s="64" t="str">
        <f>IF(U38="","",LOOKUP(U38,概要と通り!$A$24:$A$54,概要と通り!$B$24:$B$54))</f>
        <v/>
      </c>
      <c r="W38" s="154"/>
      <c r="X38" s="155"/>
      <c r="Y38" s="64" t="str">
        <f t="shared" si="16"/>
        <v/>
      </c>
      <c r="Z38" s="156"/>
      <c r="AA38" s="64" t="str">
        <f t="shared" si="17"/>
        <v/>
      </c>
      <c r="AB38" s="158"/>
      <c r="AC38" s="63" t="str">
        <f t="shared" si="18"/>
        <v/>
      </c>
      <c r="AD38" s="83" t="str">
        <f t="shared" si="23"/>
        <v/>
      </c>
      <c r="AE38" s="13" t="str">
        <f>IF(AD38="","",LOOKUP(U38,概要と通り!$A$24:$A$54,概要と通り!$D$24:$D$54))</f>
        <v/>
      </c>
      <c r="AF38" s="13" t="str">
        <f t="shared" si="19"/>
        <v/>
      </c>
      <c r="AG38" s="13" t="str">
        <f t="shared" si="20"/>
        <v/>
      </c>
    </row>
    <row r="39" spans="1:33">
      <c r="A39" s="71"/>
      <c r="B39" s="71"/>
      <c r="C39" s="94"/>
      <c r="D39" s="154"/>
      <c r="E39" s="64" t="str">
        <f>IF(D39="","",LOOKUP(D39,概要と通り!$G$24:$G$54,概要と通り!$H$24:$H$54))</f>
        <v/>
      </c>
      <c r="F39" s="154"/>
      <c r="G39" s="155"/>
      <c r="H39" s="64" t="str">
        <f t="shared" si="12"/>
        <v/>
      </c>
      <c r="I39" s="156"/>
      <c r="J39" s="64" t="str">
        <f t="shared" si="13"/>
        <v/>
      </c>
      <c r="K39" s="157"/>
      <c r="L39" s="64" t="str">
        <f t="shared" si="14"/>
        <v/>
      </c>
      <c r="M39" s="83" t="str">
        <f t="shared" si="21"/>
        <v/>
      </c>
      <c r="N39" s="13" t="str">
        <f>IF(M39="","",LOOKUP(D39,概要と通り!$G$24:$G$54,概要と通り!$J$24:$J$54))</f>
        <v/>
      </c>
      <c r="O39" s="13" t="str">
        <f t="shared" si="15"/>
        <v/>
      </c>
      <c r="P39" s="13" t="str">
        <f t="shared" si="22"/>
        <v/>
      </c>
      <c r="R39" s="71"/>
      <c r="S39" s="71"/>
      <c r="T39" s="94"/>
      <c r="U39" s="154"/>
      <c r="V39" s="64" t="str">
        <f>IF(U39="","",LOOKUP(U39,概要と通り!$A$24:$A$54,概要と通り!$B$24:$B$54))</f>
        <v/>
      </c>
      <c r="W39" s="154"/>
      <c r="X39" s="155"/>
      <c r="Y39" s="64" t="str">
        <f t="shared" si="16"/>
        <v/>
      </c>
      <c r="Z39" s="156"/>
      <c r="AA39" s="64" t="str">
        <f t="shared" si="17"/>
        <v/>
      </c>
      <c r="AB39" s="158"/>
      <c r="AC39" s="63" t="str">
        <f t="shared" si="18"/>
        <v/>
      </c>
      <c r="AD39" s="83" t="str">
        <f t="shared" si="23"/>
        <v/>
      </c>
      <c r="AE39" s="13" t="str">
        <f>IF(AD39="","",LOOKUP(U39,概要と通り!$A$24:$A$54,概要と通り!$D$24:$D$54))</f>
        <v/>
      </c>
      <c r="AF39" s="13" t="str">
        <f t="shared" si="19"/>
        <v/>
      </c>
      <c r="AG39" s="13" t="str">
        <f t="shared" si="20"/>
        <v/>
      </c>
    </row>
    <row r="40" spans="1:33">
      <c r="A40" s="71"/>
      <c r="B40" s="71"/>
      <c r="C40" s="94"/>
      <c r="D40" s="154"/>
      <c r="E40" s="64" t="str">
        <f>IF(D40="","",LOOKUP(D40,概要と通り!$G$24:$G$54,概要と通り!$H$24:$H$54))</f>
        <v/>
      </c>
      <c r="F40" s="154"/>
      <c r="G40" s="155"/>
      <c r="H40" s="64" t="str">
        <f t="shared" si="12"/>
        <v/>
      </c>
      <c r="I40" s="156"/>
      <c r="J40" s="64" t="str">
        <f t="shared" si="13"/>
        <v/>
      </c>
      <c r="K40" s="157"/>
      <c r="L40" s="64" t="str">
        <f t="shared" si="14"/>
        <v/>
      </c>
      <c r="M40" s="83" t="str">
        <f t="shared" si="21"/>
        <v/>
      </c>
      <c r="N40" s="13" t="str">
        <f>IF(M40="","",LOOKUP(D40,概要と通り!$G$24:$G$54,概要と通り!$J$24:$J$54))</f>
        <v/>
      </c>
      <c r="O40" s="13" t="str">
        <f t="shared" si="15"/>
        <v/>
      </c>
      <c r="P40" s="13" t="str">
        <f t="shared" si="22"/>
        <v/>
      </c>
      <c r="R40" s="71"/>
      <c r="S40" s="71"/>
      <c r="T40" s="94"/>
      <c r="U40" s="154"/>
      <c r="V40" s="64" t="str">
        <f>IF(U40="","",LOOKUP(U40,概要と通り!$A$24:$A$54,概要と通り!$B$24:$B$54))</f>
        <v/>
      </c>
      <c r="W40" s="154"/>
      <c r="X40" s="155"/>
      <c r="Y40" s="64" t="str">
        <f t="shared" si="16"/>
        <v/>
      </c>
      <c r="Z40" s="156"/>
      <c r="AA40" s="64" t="str">
        <f t="shared" si="17"/>
        <v/>
      </c>
      <c r="AB40" s="158"/>
      <c r="AC40" s="63" t="str">
        <f t="shared" si="18"/>
        <v/>
      </c>
      <c r="AD40" s="83" t="str">
        <f t="shared" si="23"/>
        <v/>
      </c>
      <c r="AE40" s="13" t="str">
        <f>IF(AD40="","",LOOKUP(U40,概要と通り!$A$24:$A$54,概要と通り!$D$24:$D$54))</f>
        <v/>
      </c>
      <c r="AF40" s="13" t="str">
        <f t="shared" si="19"/>
        <v/>
      </c>
      <c r="AG40" s="13" t="str">
        <f t="shared" si="20"/>
        <v/>
      </c>
    </row>
    <row r="41" spans="1:33">
      <c r="A41" s="71"/>
      <c r="B41" s="71"/>
      <c r="C41" s="94"/>
      <c r="D41" s="154"/>
      <c r="E41" s="64" t="str">
        <f>IF(D41="","",LOOKUP(D41,概要と通り!$G$24:$G$54,概要と通り!$H$24:$H$54))</f>
        <v/>
      </c>
      <c r="F41" s="154"/>
      <c r="G41" s="155"/>
      <c r="H41" s="64" t="str">
        <f t="shared" ref="H41:H59" si="24">IF(D41="","","×")</f>
        <v/>
      </c>
      <c r="I41" s="156"/>
      <c r="J41" s="64" t="str">
        <f t="shared" ref="J41:J59" si="25">IF(D41="","","×")</f>
        <v/>
      </c>
      <c r="K41" s="157"/>
      <c r="L41" s="64" t="str">
        <f t="shared" ref="L41:L59" si="26">IF(D41="","","=")</f>
        <v/>
      </c>
      <c r="M41" s="83" t="str">
        <f t="shared" si="21"/>
        <v/>
      </c>
      <c r="N41" s="13" t="str">
        <f>IF(M41="","",LOOKUP(D41,概要と通り!$G$24:$G$54,概要と通り!$J$24:$J$54))</f>
        <v/>
      </c>
      <c r="O41" s="13" t="str">
        <f t="shared" ref="O41:O59" si="27">IF(M41="","",M41*N41)</f>
        <v/>
      </c>
      <c r="P41" s="13" t="str">
        <f t="shared" si="22"/>
        <v/>
      </c>
      <c r="R41" s="71"/>
      <c r="S41" s="71"/>
      <c r="T41" s="94"/>
      <c r="U41" s="154"/>
      <c r="V41" s="64" t="str">
        <f>IF(U41="","",LOOKUP(U41,概要と通り!$A$24:$A$54,概要と通り!$B$24:$B$54))</f>
        <v/>
      </c>
      <c r="W41" s="154"/>
      <c r="X41" s="155"/>
      <c r="Y41" s="64" t="str">
        <f t="shared" ref="Y41:Y59" si="28">IF(U41="","","×")</f>
        <v/>
      </c>
      <c r="Z41" s="156"/>
      <c r="AA41" s="64" t="str">
        <f t="shared" ref="AA41:AA59" si="29">IF(U41="","","×")</f>
        <v/>
      </c>
      <c r="AB41" s="158"/>
      <c r="AC41" s="63" t="str">
        <f t="shared" ref="AC41:AC59" si="30">IF(U41="","","=")</f>
        <v/>
      </c>
      <c r="AD41" s="83" t="str">
        <f t="shared" si="23"/>
        <v/>
      </c>
      <c r="AE41" s="13" t="str">
        <f>IF(AD41="","",LOOKUP(U41,概要と通り!$A$24:$A$54,概要と通り!$D$24:$D$54))</f>
        <v/>
      </c>
      <c r="AF41" s="13" t="str">
        <f t="shared" ref="AF41:AF59" si="31">IF(AD41="","",AD41*AE41)</f>
        <v/>
      </c>
      <c r="AG41" s="13" t="str">
        <f t="shared" ref="AG41:AG59" si="32">IF(AD41="","",AD41*(AE41-$AG$70)^2)</f>
        <v/>
      </c>
    </row>
    <row r="42" spans="1:33">
      <c r="A42" s="71"/>
      <c r="B42" s="71"/>
      <c r="C42" s="94"/>
      <c r="D42" s="154"/>
      <c r="E42" s="64" t="str">
        <f>IF(D42="","",LOOKUP(D42,概要と通り!$G$24:$G$54,概要と通り!$H$24:$H$54))</f>
        <v/>
      </c>
      <c r="F42" s="154"/>
      <c r="G42" s="155"/>
      <c r="H42" s="64" t="str">
        <f t="shared" si="24"/>
        <v/>
      </c>
      <c r="I42" s="156"/>
      <c r="J42" s="64" t="str">
        <f t="shared" si="25"/>
        <v/>
      </c>
      <c r="K42" s="157"/>
      <c r="L42" s="64" t="str">
        <f t="shared" si="26"/>
        <v/>
      </c>
      <c r="M42" s="83" t="str">
        <f t="shared" si="21"/>
        <v/>
      </c>
      <c r="N42" s="13" t="str">
        <f>IF(M42="","",LOOKUP(D42,概要と通り!$G$24:$G$54,概要と通り!$J$24:$J$54))</f>
        <v/>
      </c>
      <c r="O42" s="13" t="str">
        <f t="shared" si="27"/>
        <v/>
      </c>
      <c r="P42" s="13" t="str">
        <f t="shared" si="22"/>
        <v/>
      </c>
      <c r="R42" s="71"/>
      <c r="S42" s="71"/>
      <c r="T42" s="94"/>
      <c r="U42" s="154"/>
      <c r="V42" s="64" t="str">
        <f>IF(U42="","",LOOKUP(U42,概要と通り!$A$24:$A$54,概要と通り!$B$24:$B$54))</f>
        <v/>
      </c>
      <c r="W42" s="154"/>
      <c r="X42" s="155"/>
      <c r="Y42" s="64" t="str">
        <f t="shared" si="28"/>
        <v/>
      </c>
      <c r="Z42" s="156"/>
      <c r="AA42" s="64" t="str">
        <f t="shared" si="29"/>
        <v/>
      </c>
      <c r="AB42" s="158"/>
      <c r="AC42" s="63" t="str">
        <f t="shared" si="30"/>
        <v/>
      </c>
      <c r="AD42" s="83" t="str">
        <f t="shared" si="23"/>
        <v/>
      </c>
      <c r="AE42" s="13" t="str">
        <f>IF(AD42="","",LOOKUP(U42,概要と通り!$A$24:$A$54,概要と通り!$D$24:$D$54))</f>
        <v/>
      </c>
      <c r="AF42" s="13" t="str">
        <f t="shared" si="31"/>
        <v/>
      </c>
      <c r="AG42" s="13" t="str">
        <f t="shared" si="32"/>
        <v/>
      </c>
    </row>
    <row r="43" spans="1:33">
      <c r="A43" s="71"/>
      <c r="B43" s="71"/>
      <c r="C43" s="94"/>
      <c r="D43" s="154"/>
      <c r="E43" s="64" t="str">
        <f>IF(D43="","",LOOKUP(D43,概要と通り!$G$24:$G$54,概要と通り!$H$24:$H$54))</f>
        <v/>
      </c>
      <c r="F43" s="154"/>
      <c r="G43" s="155"/>
      <c r="H43" s="64" t="str">
        <f t="shared" si="24"/>
        <v/>
      </c>
      <c r="I43" s="156"/>
      <c r="J43" s="64" t="str">
        <f t="shared" si="25"/>
        <v/>
      </c>
      <c r="K43" s="157"/>
      <c r="L43" s="64" t="str">
        <f t="shared" si="26"/>
        <v/>
      </c>
      <c r="M43" s="83" t="str">
        <f t="shared" si="21"/>
        <v/>
      </c>
      <c r="N43" s="13" t="str">
        <f>IF(M43="","",LOOKUP(D43,概要と通り!$G$24:$G$54,概要と通り!$J$24:$J$54))</f>
        <v/>
      </c>
      <c r="O43" s="13" t="str">
        <f t="shared" si="27"/>
        <v/>
      </c>
      <c r="P43" s="13" t="str">
        <f t="shared" si="22"/>
        <v/>
      </c>
      <c r="R43" s="71"/>
      <c r="S43" s="71"/>
      <c r="T43" s="94"/>
      <c r="U43" s="154"/>
      <c r="V43" s="64" t="str">
        <f>IF(U43="","",LOOKUP(U43,概要と通り!$A$24:$A$54,概要と通り!$B$24:$B$54))</f>
        <v/>
      </c>
      <c r="W43" s="154"/>
      <c r="X43" s="155"/>
      <c r="Y43" s="64" t="str">
        <f t="shared" si="28"/>
        <v/>
      </c>
      <c r="Z43" s="156"/>
      <c r="AA43" s="64" t="str">
        <f t="shared" si="29"/>
        <v/>
      </c>
      <c r="AB43" s="158"/>
      <c r="AC43" s="63" t="str">
        <f t="shared" si="30"/>
        <v/>
      </c>
      <c r="AD43" s="83" t="str">
        <f t="shared" si="23"/>
        <v/>
      </c>
      <c r="AE43" s="13" t="str">
        <f>IF(AD43="","",LOOKUP(U43,概要と通り!$A$24:$A$54,概要と通り!$D$24:$D$54))</f>
        <v/>
      </c>
      <c r="AF43" s="13" t="str">
        <f t="shared" si="31"/>
        <v/>
      </c>
      <c r="AG43" s="13" t="str">
        <f t="shared" si="32"/>
        <v/>
      </c>
    </row>
    <row r="44" spans="1:33">
      <c r="A44" s="71"/>
      <c r="B44" s="71"/>
      <c r="C44" s="94"/>
      <c r="D44" s="154"/>
      <c r="E44" s="64" t="str">
        <f>IF(D44="","",LOOKUP(D44,概要と通り!$G$24:$G$54,概要と通り!$H$24:$H$54))</f>
        <v/>
      </c>
      <c r="F44" s="154"/>
      <c r="G44" s="155"/>
      <c r="H44" s="64" t="str">
        <f t="shared" si="24"/>
        <v/>
      </c>
      <c r="I44" s="156"/>
      <c r="J44" s="64" t="str">
        <f t="shared" si="25"/>
        <v/>
      </c>
      <c r="K44" s="157"/>
      <c r="L44" s="64" t="str">
        <f t="shared" si="26"/>
        <v/>
      </c>
      <c r="M44" s="83" t="str">
        <f t="shared" si="21"/>
        <v/>
      </c>
      <c r="N44" s="13" t="str">
        <f>IF(M44="","",LOOKUP(D44,概要と通り!$G$24:$G$54,概要と通り!$J$24:$J$54))</f>
        <v/>
      </c>
      <c r="O44" s="13" t="str">
        <f t="shared" si="27"/>
        <v/>
      </c>
      <c r="P44" s="13" t="str">
        <f t="shared" si="22"/>
        <v/>
      </c>
      <c r="R44" s="71"/>
      <c r="S44" s="71"/>
      <c r="T44" s="94"/>
      <c r="U44" s="154"/>
      <c r="V44" s="64" t="str">
        <f>IF(U44="","",LOOKUP(U44,概要と通り!$A$24:$A$54,概要と通り!$B$24:$B$54))</f>
        <v/>
      </c>
      <c r="W44" s="154"/>
      <c r="X44" s="155"/>
      <c r="Y44" s="64" t="str">
        <f t="shared" si="28"/>
        <v/>
      </c>
      <c r="Z44" s="156"/>
      <c r="AA44" s="64" t="str">
        <f t="shared" si="29"/>
        <v/>
      </c>
      <c r="AB44" s="158"/>
      <c r="AC44" s="63" t="str">
        <f t="shared" si="30"/>
        <v/>
      </c>
      <c r="AD44" s="83" t="str">
        <f t="shared" si="23"/>
        <v/>
      </c>
      <c r="AE44" s="13" t="str">
        <f>IF(AD44="","",LOOKUP(U44,概要と通り!$A$24:$A$54,概要と通り!$D$24:$D$54))</f>
        <v/>
      </c>
      <c r="AF44" s="13" t="str">
        <f t="shared" si="31"/>
        <v/>
      </c>
      <c r="AG44" s="13" t="str">
        <f t="shared" si="32"/>
        <v/>
      </c>
    </row>
    <row r="45" spans="1:33">
      <c r="A45" s="71"/>
      <c r="B45" s="71"/>
      <c r="C45" s="94"/>
      <c r="D45" s="154"/>
      <c r="E45" s="64" t="str">
        <f>IF(D45="","",LOOKUP(D45,概要と通り!$G$24:$G$54,概要と通り!$H$24:$H$54))</f>
        <v/>
      </c>
      <c r="F45" s="154"/>
      <c r="G45" s="155"/>
      <c r="H45" s="64" t="str">
        <f t="shared" si="24"/>
        <v/>
      </c>
      <c r="I45" s="156"/>
      <c r="J45" s="64" t="str">
        <f t="shared" si="25"/>
        <v/>
      </c>
      <c r="K45" s="157"/>
      <c r="L45" s="64" t="str">
        <f t="shared" si="26"/>
        <v/>
      </c>
      <c r="M45" s="83" t="str">
        <f t="shared" si="21"/>
        <v/>
      </c>
      <c r="N45" s="13" t="str">
        <f>IF(M45="","",LOOKUP(D45,概要と通り!$G$24:$G$54,概要と通り!$J$24:$J$54))</f>
        <v/>
      </c>
      <c r="O45" s="13" t="str">
        <f t="shared" si="27"/>
        <v/>
      </c>
      <c r="P45" s="13" t="str">
        <f t="shared" si="22"/>
        <v/>
      </c>
      <c r="R45" s="71"/>
      <c r="S45" s="71"/>
      <c r="T45" s="94"/>
      <c r="U45" s="154"/>
      <c r="V45" s="64" t="str">
        <f>IF(U45="","",LOOKUP(U45,概要と通り!$A$24:$A$54,概要と通り!$B$24:$B$54))</f>
        <v/>
      </c>
      <c r="W45" s="154"/>
      <c r="X45" s="155"/>
      <c r="Y45" s="64" t="str">
        <f t="shared" si="28"/>
        <v/>
      </c>
      <c r="Z45" s="156"/>
      <c r="AA45" s="64" t="str">
        <f t="shared" si="29"/>
        <v/>
      </c>
      <c r="AB45" s="158"/>
      <c r="AC45" s="63" t="str">
        <f t="shared" si="30"/>
        <v/>
      </c>
      <c r="AD45" s="83" t="str">
        <f t="shared" si="23"/>
        <v/>
      </c>
      <c r="AE45" s="13" t="str">
        <f>IF(AD45="","",LOOKUP(U45,概要と通り!$A$24:$A$54,概要と通り!$D$24:$D$54))</f>
        <v/>
      </c>
      <c r="AF45" s="13" t="str">
        <f t="shared" si="31"/>
        <v/>
      </c>
      <c r="AG45" s="13" t="str">
        <f t="shared" si="32"/>
        <v/>
      </c>
    </row>
    <row r="46" spans="1:33">
      <c r="A46" s="71"/>
      <c r="B46" s="71"/>
      <c r="C46" s="94"/>
      <c r="D46" s="154"/>
      <c r="E46" s="64" t="str">
        <f>IF(D46="","",LOOKUP(D46,概要と通り!$G$24:$G$54,概要と通り!$H$24:$H$54))</f>
        <v/>
      </c>
      <c r="F46" s="154"/>
      <c r="G46" s="155"/>
      <c r="H46" s="64" t="str">
        <f t="shared" si="24"/>
        <v/>
      </c>
      <c r="I46" s="156"/>
      <c r="J46" s="64" t="str">
        <f t="shared" si="25"/>
        <v/>
      </c>
      <c r="K46" s="157"/>
      <c r="L46" s="64" t="str">
        <f t="shared" si="26"/>
        <v/>
      </c>
      <c r="M46" s="83" t="str">
        <f t="shared" si="21"/>
        <v/>
      </c>
      <c r="N46" s="13" t="str">
        <f>IF(M46="","",LOOKUP(D46,概要と通り!$G$24:$G$54,概要と通り!$J$24:$J$54))</f>
        <v/>
      </c>
      <c r="O46" s="13" t="str">
        <f t="shared" si="27"/>
        <v/>
      </c>
      <c r="P46" s="13" t="str">
        <f t="shared" si="22"/>
        <v/>
      </c>
      <c r="R46" s="71"/>
      <c r="S46" s="71"/>
      <c r="T46" s="94"/>
      <c r="U46" s="154"/>
      <c r="V46" s="64" t="str">
        <f>IF(U46="","",LOOKUP(U46,概要と通り!$A$24:$A$54,概要と通り!$B$24:$B$54))</f>
        <v/>
      </c>
      <c r="W46" s="154"/>
      <c r="X46" s="155"/>
      <c r="Y46" s="64" t="str">
        <f t="shared" si="28"/>
        <v/>
      </c>
      <c r="Z46" s="156"/>
      <c r="AA46" s="64" t="str">
        <f t="shared" si="29"/>
        <v/>
      </c>
      <c r="AB46" s="158"/>
      <c r="AC46" s="63" t="str">
        <f t="shared" si="30"/>
        <v/>
      </c>
      <c r="AD46" s="83" t="str">
        <f t="shared" si="23"/>
        <v/>
      </c>
      <c r="AE46" s="13" t="str">
        <f>IF(AD46="","",LOOKUP(U46,概要と通り!$A$24:$A$54,概要と通り!$D$24:$D$54))</f>
        <v/>
      </c>
      <c r="AF46" s="13" t="str">
        <f t="shared" si="31"/>
        <v/>
      </c>
      <c r="AG46" s="13" t="str">
        <f t="shared" si="32"/>
        <v/>
      </c>
    </row>
    <row r="47" spans="1:33">
      <c r="A47" s="71"/>
      <c r="B47" s="71"/>
      <c r="C47" s="94"/>
      <c r="D47" s="154"/>
      <c r="E47" s="64" t="str">
        <f>IF(D47="","",LOOKUP(D47,概要と通り!$G$24:$G$54,概要と通り!$H$24:$H$54))</f>
        <v/>
      </c>
      <c r="F47" s="154"/>
      <c r="G47" s="155"/>
      <c r="H47" s="64" t="str">
        <f t="shared" si="24"/>
        <v/>
      </c>
      <c r="I47" s="156"/>
      <c r="J47" s="64" t="str">
        <f t="shared" si="25"/>
        <v/>
      </c>
      <c r="K47" s="157"/>
      <c r="L47" s="64" t="str">
        <f t="shared" si="26"/>
        <v/>
      </c>
      <c r="M47" s="83" t="str">
        <f t="shared" si="21"/>
        <v/>
      </c>
      <c r="N47" s="13" t="str">
        <f>IF(M47="","",LOOKUP(D47,概要と通り!$G$24:$G$54,概要と通り!$J$24:$J$54))</f>
        <v/>
      </c>
      <c r="O47" s="13" t="str">
        <f t="shared" si="27"/>
        <v/>
      </c>
      <c r="P47" s="13" t="str">
        <f t="shared" si="22"/>
        <v/>
      </c>
      <c r="R47" s="71"/>
      <c r="S47" s="71"/>
      <c r="T47" s="94"/>
      <c r="U47" s="154"/>
      <c r="V47" s="64" t="str">
        <f>IF(U47="","",LOOKUP(U47,概要と通り!$A$24:$A$54,概要と通り!$B$24:$B$54))</f>
        <v/>
      </c>
      <c r="W47" s="154"/>
      <c r="X47" s="155"/>
      <c r="Y47" s="64" t="str">
        <f t="shared" si="28"/>
        <v/>
      </c>
      <c r="Z47" s="156"/>
      <c r="AA47" s="64" t="str">
        <f t="shared" si="29"/>
        <v/>
      </c>
      <c r="AB47" s="158"/>
      <c r="AC47" s="63" t="str">
        <f t="shared" si="30"/>
        <v/>
      </c>
      <c r="AD47" s="83" t="str">
        <f t="shared" si="23"/>
        <v/>
      </c>
      <c r="AE47" s="13" t="str">
        <f>IF(AD47="","",LOOKUP(U47,概要と通り!$A$24:$A$54,概要と通り!$D$24:$D$54))</f>
        <v/>
      </c>
      <c r="AF47" s="13" t="str">
        <f t="shared" si="31"/>
        <v/>
      </c>
      <c r="AG47" s="13" t="str">
        <f t="shared" si="32"/>
        <v/>
      </c>
    </row>
    <row r="48" spans="1:33">
      <c r="A48" s="71"/>
      <c r="B48" s="71"/>
      <c r="C48" s="94"/>
      <c r="D48" s="154"/>
      <c r="E48" s="64" t="str">
        <f>IF(D48="","",LOOKUP(D48,概要と通り!$G$24:$G$54,概要と通り!$H$24:$H$54))</f>
        <v/>
      </c>
      <c r="F48" s="154"/>
      <c r="G48" s="155"/>
      <c r="H48" s="64" t="str">
        <f t="shared" si="24"/>
        <v/>
      </c>
      <c r="I48" s="156"/>
      <c r="J48" s="64" t="str">
        <f t="shared" si="25"/>
        <v/>
      </c>
      <c r="K48" s="157"/>
      <c r="L48" s="64" t="str">
        <f t="shared" si="26"/>
        <v/>
      </c>
      <c r="M48" s="83" t="str">
        <f t="shared" si="21"/>
        <v/>
      </c>
      <c r="N48" s="13" t="str">
        <f>IF(M48="","",LOOKUP(D48,概要と通り!$G$24:$G$54,概要と通り!$J$24:$J$54))</f>
        <v/>
      </c>
      <c r="O48" s="13" t="str">
        <f t="shared" si="27"/>
        <v/>
      </c>
      <c r="P48" s="13" t="str">
        <f t="shared" si="22"/>
        <v/>
      </c>
      <c r="R48" s="71"/>
      <c r="S48" s="71"/>
      <c r="T48" s="94"/>
      <c r="U48" s="154"/>
      <c r="V48" s="64" t="str">
        <f>IF(U48="","",LOOKUP(U48,概要と通り!$A$24:$A$54,概要と通り!$B$24:$B$54))</f>
        <v/>
      </c>
      <c r="W48" s="154"/>
      <c r="X48" s="155"/>
      <c r="Y48" s="64" t="str">
        <f t="shared" si="28"/>
        <v/>
      </c>
      <c r="Z48" s="156"/>
      <c r="AA48" s="64" t="str">
        <f t="shared" si="29"/>
        <v/>
      </c>
      <c r="AB48" s="158"/>
      <c r="AC48" s="63" t="str">
        <f t="shared" si="30"/>
        <v/>
      </c>
      <c r="AD48" s="83" t="str">
        <f t="shared" si="23"/>
        <v/>
      </c>
      <c r="AE48" s="13" t="str">
        <f>IF(AD48="","",LOOKUP(U48,概要と通り!$A$24:$A$54,概要と通り!$D$24:$D$54))</f>
        <v/>
      </c>
      <c r="AF48" s="13" t="str">
        <f t="shared" si="31"/>
        <v/>
      </c>
      <c r="AG48" s="13" t="str">
        <f t="shared" si="32"/>
        <v/>
      </c>
    </row>
    <row r="49" spans="1:33">
      <c r="A49" s="71"/>
      <c r="B49" s="71"/>
      <c r="C49" s="94"/>
      <c r="D49" s="154"/>
      <c r="E49" s="64" t="str">
        <f>IF(D49="","",LOOKUP(D49,概要と通り!$G$24:$G$54,概要と通り!$H$24:$H$54))</f>
        <v/>
      </c>
      <c r="F49" s="154"/>
      <c r="G49" s="155"/>
      <c r="H49" s="64" t="str">
        <f t="shared" si="24"/>
        <v/>
      </c>
      <c r="I49" s="156"/>
      <c r="J49" s="64" t="str">
        <f t="shared" si="25"/>
        <v/>
      </c>
      <c r="K49" s="157"/>
      <c r="L49" s="64" t="str">
        <f t="shared" si="26"/>
        <v/>
      </c>
      <c r="M49" s="83" t="str">
        <f t="shared" si="21"/>
        <v/>
      </c>
      <c r="N49" s="13" t="str">
        <f>IF(M49="","",LOOKUP(D49,概要と通り!$G$24:$G$54,概要と通り!$J$24:$J$54))</f>
        <v/>
      </c>
      <c r="O49" s="13" t="str">
        <f t="shared" si="27"/>
        <v/>
      </c>
      <c r="P49" s="13" t="str">
        <f t="shared" si="22"/>
        <v/>
      </c>
      <c r="R49" s="71"/>
      <c r="S49" s="71"/>
      <c r="T49" s="94"/>
      <c r="U49" s="154"/>
      <c r="V49" s="64" t="str">
        <f>IF(U49="","",LOOKUP(U49,概要と通り!$A$24:$A$54,概要と通り!$B$24:$B$54))</f>
        <v/>
      </c>
      <c r="W49" s="154"/>
      <c r="X49" s="155"/>
      <c r="Y49" s="64" t="str">
        <f t="shared" si="28"/>
        <v/>
      </c>
      <c r="Z49" s="156"/>
      <c r="AA49" s="64" t="str">
        <f t="shared" si="29"/>
        <v/>
      </c>
      <c r="AB49" s="158"/>
      <c r="AC49" s="63" t="str">
        <f t="shared" si="30"/>
        <v/>
      </c>
      <c r="AD49" s="83" t="str">
        <f t="shared" si="23"/>
        <v/>
      </c>
      <c r="AE49" s="13" t="str">
        <f>IF(AD49="","",LOOKUP(U49,概要と通り!$A$24:$A$54,概要と通り!$D$24:$D$54))</f>
        <v/>
      </c>
      <c r="AF49" s="13" t="str">
        <f t="shared" si="31"/>
        <v/>
      </c>
      <c r="AG49" s="13" t="str">
        <f t="shared" si="32"/>
        <v/>
      </c>
    </row>
    <row r="50" spans="1:33">
      <c r="A50" s="71"/>
      <c r="B50" s="71"/>
      <c r="C50" s="94"/>
      <c r="D50" s="154"/>
      <c r="E50" s="64" t="str">
        <f>IF(D50="","",LOOKUP(D50,概要と通り!$G$24:$G$54,概要と通り!$H$24:$H$54))</f>
        <v/>
      </c>
      <c r="F50" s="154"/>
      <c r="G50" s="155"/>
      <c r="H50" s="64" t="str">
        <f t="shared" si="24"/>
        <v/>
      </c>
      <c r="I50" s="156"/>
      <c r="J50" s="64" t="str">
        <f t="shared" si="25"/>
        <v/>
      </c>
      <c r="K50" s="157"/>
      <c r="L50" s="64" t="str">
        <f t="shared" si="26"/>
        <v/>
      </c>
      <c r="M50" s="83" t="str">
        <f t="shared" si="21"/>
        <v/>
      </c>
      <c r="N50" s="13" t="str">
        <f>IF(M50="","",LOOKUP(D50,概要と通り!$G$24:$G$54,概要と通り!$J$24:$J$54))</f>
        <v/>
      </c>
      <c r="O50" s="13" t="str">
        <f t="shared" si="27"/>
        <v/>
      </c>
      <c r="P50" s="13" t="str">
        <f t="shared" si="22"/>
        <v/>
      </c>
      <c r="R50" s="71"/>
      <c r="S50" s="71"/>
      <c r="T50" s="94"/>
      <c r="U50" s="154"/>
      <c r="V50" s="64" t="str">
        <f>IF(U50="","",LOOKUP(U50,概要と通り!$A$24:$A$54,概要と通り!$B$24:$B$54))</f>
        <v/>
      </c>
      <c r="W50" s="154"/>
      <c r="X50" s="155"/>
      <c r="Y50" s="64" t="str">
        <f t="shared" si="28"/>
        <v/>
      </c>
      <c r="Z50" s="156"/>
      <c r="AA50" s="64" t="str">
        <f t="shared" si="29"/>
        <v/>
      </c>
      <c r="AB50" s="158"/>
      <c r="AC50" s="63" t="str">
        <f t="shared" si="30"/>
        <v/>
      </c>
      <c r="AD50" s="83" t="str">
        <f t="shared" si="23"/>
        <v/>
      </c>
      <c r="AE50" s="13" t="str">
        <f>IF(AD50="","",LOOKUP(U50,概要と通り!$A$24:$A$54,概要と通り!$D$24:$D$54))</f>
        <v/>
      </c>
      <c r="AF50" s="13" t="str">
        <f t="shared" si="31"/>
        <v/>
      </c>
      <c r="AG50" s="13" t="str">
        <f t="shared" si="32"/>
        <v/>
      </c>
    </row>
    <row r="51" spans="1:33">
      <c r="A51" s="71"/>
      <c r="B51" s="71"/>
      <c r="C51" s="94"/>
      <c r="D51" s="154"/>
      <c r="E51" s="64" t="str">
        <f>IF(D51="","",LOOKUP(D51,概要と通り!$G$24:$G$54,概要と通り!$H$24:$H$54))</f>
        <v/>
      </c>
      <c r="F51" s="154"/>
      <c r="G51" s="155"/>
      <c r="H51" s="64" t="str">
        <f t="shared" si="24"/>
        <v/>
      </c>
      <c r="I51" s="156"/>
      <c r="J51" s="64" t="str">
        <f t="shared" si="25"/>
        <v/>
      </c>
      <c r="K51" s="157"/>
      <c r="L51" s="64" t="str">
        <f t="shared" si="26"/>
        <v/>
      </c>
      <c r="M51" s="83" t="str">
        <f t="shared" si="21"/>
        <v/>
      </c>
      <c r="N51" s="13" t="str">
        <f>IF(M51="","",LOOKUP(D51,概要と通り!$G$24:$G$54,概要と通り!$J$24:$J$54))</f>
        <v/>
      </c>
      <c r="O51" s="13" t="str">
        <f t="shared" si="27"/>
        <v/>
      </c>
      <c r="P51" s="13" t="str">
        <f t="shared" si="22"/>
        <v/>
      </c>
      <c r="R51" s="71"/>
      <c r="S51" s="71"/>
      <c r="T51" s="94"/>
      <c r="U51" s="154"/>
      <c r="V51" s="64" t="str">
        <f>IF(U51="","",LOOKUP(U51,概要と通り!$A$24:$A$54,概要と通り!$B$24:$B$54))</f>
        <v/>
      </c>
      <c r="W51" s="154"/>
      <c r="X51" s="155"/>
      <c r="Y51" s="64" t="str">
        <f t="shared" si="28"/>
        <v/>
      </c>
      <c r="Z51" s="156"/>
      <c r="AA51" s="64" t="str">
        <f t="shared" si="29"/>
        <v/>
      </c>
      <c r="AB51" s="158"/>
      <c r="AC51" s="63" t="str">
        <f t="shared" si="30"/>
        <v/>
      </c>
      <c r="AD51" s="83" t="str">
        <f t="shared" si="23"/>
        <v/>
      </c>
      <c r="AE51" s="13" t="str">
        <f>IF(AD51="","",LOOKUP(U51,概要と通り!$A$24:$A$54,概要と通り!$D$24:$D$54))</f>
        <v/>
      </c>
      <c r="AF51" s="13" t="str">
        <f t="shared" si="31"/>
        <v/>
      </c>
      <c r="AG51" s="13" t="str">
        <f t="shared" si="32"/>
        <v/>
      </c>
    </row>
    <row r="52" spans="1:33">
      <c r="A52" s="71"/>
      <c r="B52" s="71"/>
      <c r="C52" s="94"/>
      <c r="D52" s="154"/>
      <c r="E52" s="64" t="str">
        <f>IF(D52="","",LOOKUP(D52,概要と通り!$G$24:$G$54,概要と通り!$H$24:$H$54))</f>
        <v/>
      </c>
      <c r="F52" s="154"/>
      <c r="G52" s="155"/>
      <c r="H52" s="64" t="str">
        <f t="shared" si="24"/>
        <v/>
      </c>
      <c r="I52" s="156"/>
      <c r="J52" s="64" t="str">
        <f t="shared" si="25"/>
        <v/>
      </c>
      <c r="K52" s="157"/>
      <c r="L52" s="64" t="str">
        <f t="shared" si="26"/>
        <v/>
      </c>
      <c r="M52" s="83" t="str">
        <f t="shared" si="21"/>
        <v/>
      </c>
      <c r="N52" s="13" t="str">
        <f>IF(M52="","",LOOKUP(D52,概要と通り!$G$24:$G$54,概要と通り!$J$24:$J$54))</f>
        <v/>
      </c>
      <c r="O52" s="13" t="str">
        <f t="shared" si="27"/>
        <v/>
      </c>
      <c r="P52" s="13" t="str">
        <f t="shared" si="22"/>
        <v/>
      </c>
      <c r="R52" s="71"/>
      <c r="S52" s="71"/>
      <c r="T52" s="94"/>
      <c r="U52" s="154"/>
      <c r="V52" s="64" t="str">
        <f>IF(U52="","",LOOKUP(U52,概要と通り!$A$24:$A$54,概要と通り!$B$24:$B$54))</f>
        <v/>
      </c>
      <c r="W52" s="154"/>
      <c r="X52" s="155"/>
      <c r="Y52" s="64" t="str">
        <f t="shared" si="28"/>
        <v/>
      </c>
      <c r="Z52" s="156"/>
      <c r="AA52" s="64" t="str">
        <f t="shared" si="29"/>
        <v/>
      </c>
      <c r="AB52" s="158"/>
      <c r="AC52" s="63" t="str">
        <f t="shared" si="30"/>
        <v/>
      </c>
      <c r="AD52" s="83" t="str">
        <f t="shared" si="23"/>
        <v/>
      </c>
      <c r="AE52" s="13" t="str">
        <f>IF(AD52="","",LOOKUP(U52,概要と通り!$A$24:$A$54,概要と通り!$D$24:$D$54))</f>
        <v/>
      </c>
      <c r="AF52" s="13" t="str">
        <f t="shared" si="31"/>
        <v/>
      </c>
      <c r="AG52" s="13" t="str">
        <f t="shared" si="32"/>
        <v/>
      </c>
    </row>
    <row r="53" spans="1:33">
      <c r="A53" s="71"/>
      <c r="B53" s="71"/>
      <c r="C53" s="94"/>
      <c r="D53" s="154"/>
      <c r="E53" s="64" t="str">
        <f>IF(D53="","",LOOKUP(D53,概要と通り!$G$24:$G$54,概要と通り!$H$24:$H$54))</f>
        <v/>
      </c>
      <c r="F53" s="154"/>
      <c r="G53" s="155"/>
      <c r="H53" s="64" t="str">
        <f t="shared" si="24"/>
        <v/>
      </c>
      <c r="I53" s="156"/>
      <c r="J53" s="64" t="str">
        <f t="shared" si="25"/>
        <v/>
      </c>
      <c r="K53" s="157"/>
      <c r="L53" s="64" t="str">
        <f t="shared" si="26"/>
        <v/>
      </c>
      <c r="M53" s="83" t="str">
        <f t="shared" si="21"/>
        <v/>
      </c>
      <c r="N53" s="13" t="str">
        <f>IF(M53="","",LOOKUP(D53,概要と通り!$G$24:$G$54,概要と通り!$J$24:$J$54))</f>
        <v/>
      </c>
      <c r="O53" s="13" t="str">
        <f t="shared" si="27"/>
        <v/>
      </c>
      <c r="P53" s="13" t="str">
        <f t="shared" si="22"/>
        <v/>
      </c>
      <c r="R53" s="71"/>
      <c r="S53" s="71"/>
      <c r="T53" s="94"/>
      <c r="U53" s="154"/>
      <c r="V53" s="64" t="str">
        <f>IF(U53="","",LOOKUP(U53,概要と通り!$A$24:$A$54,概要と通り!$B$24:$B$54))</f>
        <v/>
      </c>
      <c r="W53" s="154"/>
      <c r="X53" s="155"/>
      <c r="Y53" s="64" t="str">
        <f t="shared" si="28"/>
        <v/>
      </c>
      <c r="Z53" s="156"/>
      <c r="AA53" s="64" t="str">
        <f t="shared" si="29"/>
        <v/>
      </c>
      <c r="AB53" s="158"/>
      <c r="AC53" s="63" t="str">
        <f t="shared" si="30"/>
        <v/>
      </c>
      <c r="AD53" s="83" t="str">
        <f t="shared" si="23"/>
        <v/>
      </c>
      <c r="AE53" s="13" t="str">
        <f>IF(AD53="","",LOOKUP(U53,概要と通り!$A$24:$A$54,概要と通り!$D$24:$D$54))</f>
        <v/>
      </c>
      <c r="AF53" s="13" t="str">
        <f t="shared" si="31"/>
        <v/>
      </c>
      <c r="AG53" s="13" t="str">
        <f t="shared" si="32"/>
        <v/>
      </c>
    </row>
    <row r="54" spans="1:33">
      <c r="A54" s="71"/>
      <c r="B54" s="71"/>
      <c r="C54" s="94"/>
      <c r="D54" s="154"/>
      <c r="E54" s="64" t="str">
        <f>IF(D54="","",LOOKUP(D54,概要と通り!$G$24:$G$54,概要と通り!$H$24:$H$54))</f>
        <v/>
      </c>
      <c r="F54" s="154"/>
      <c r="G54" s="155"/>
      <c r="H54" s="64" t="str">
        <f t="shared" si="24"/>
        <v/>
      </c>
      <c r="I54" s="156"/>
      <c r="J54" s="64" t="str">
        <f t="shared" si="25"/>
        <v/>
      </c>
      <c r="K54" s="157"/>
      <c r="L54" s="64" t="str">
        <f t="shared" si="26"/>
        <v/>
      </c>
      <c r="M54" s="83" t="str">
        <f t="shared" si="21"/>
        <v/>
      </c>
      <c r="N54" s="13" t="str">
        <f>IF(M54="","",LOOKUP(D54,概要と通り!$G$24:$G$54,概要と通り!$J$24:$J$54))</f>
        <v/>
      </c>
      <c r="O54" s="13" t="str">
        <f t="shared" si="27"/>
        <v/>
      </c>
      <c r="P54" s="13" t="str">
        <f t="shared" si="22"/>
        <v/>
      </c>
      <c r="R54" s="71"/>
      <c r="S54" s="71"/>
      <c r="T54" s="94"/>
      <c r="U54" s="154"/>
      <c r="V54" s="64" t="str">
        <f>IF(U54="","",LOOKUP(U54,概要と通り!$A$24:$A$54,概要と通り!$B$24:$B$54))</f>
        <v/>
      </c>
      <c r="W54" s="154"/>
      <c r="X54" s="155"/>
      <c r="Y54" s="64" t="str">
        <f t="shared" si="28"/>
        <v/>
      </c>
      <c r="Z54" s="156"/>
      <c r="AA54" s="64" t="str">
        <f t="shared" si="29"/>
        <v/>
      </c>
      <c r="AB54" s="158"/>
      <c r="AC54" s="63" t="str">
        <f t="shared" si="30"/>
        <v/>
      </c>
      <c r="AD54" s="83" t="str">
        <f t="shared" si="23"/>
        <v/>
      </c>
      <c r="AE54" s="13" t="str">
        <f>IF(AD54="","",LOOKUP(U54,概要と通り!$A$24:$A$54,概要と通り!$D$24:$D$54))</f>
        <v/>
      </c>
      <c r="AF54" s="13" t="str">
        <f t="shared" si="31"/>
        <v/>
      </c>
      <c r="AG54" s="13" t="str">
        <f t="shared" si="32"/>
        <v/>
      </c>
    </row>
    <row r="55" spans="1:33">
      <c r="A55" s="71"/>
      <c r="B55" s="71"/>
      <c r="C55" s="94"/>
      <c r="D55" s="154"/>
      <c r="E55" s="64" t="str">
        <f>IF(D55="","",LOOKUP(D55,概要と通り!$G$24:$G$54,概要と通り!$H$24:$H$54))</f>
        <v/>
      </c>
      <c r="F55" s="154"/>
      <c r="G55" s="155"/>
      <c r="H55" s="64" t="str">
        <f t="shared" si="24"/>
        <v/>
      </c>
      <c r="I55" s="156"/>
      <c r="J55" s="64" t="str">
        <f t="shared" si="25"/>
        <v/>
      </c>
      <c r="K55" s="157"/>
      <c r="L55" s="64" t="str">
        <f t="shared" si="26"/>
        <v/>
      </c>
      <c r="M55" s="83" t="str">
        <f t="shared" si="21"/>
        <v/>
      </c>
      <c r="N55" s="13" t="str">
        <f>IF(M55="","",LOOKUP(D55,概要と通り!$G$24:$G$54,概要と通り!$J$24:$J$54))</f>
        <v/>
      </c>
      <c r="O55" s="13" t="str">
        <f t="shared" si="27"/>
        <v/>
      </c>
      <c r="P55" s="13" t="str">
        <f t="shared" si="22"/>
        <v/>
      </c>
      <c r="R55" s="71"/>
      <c r="S55" s="71"/>
      <c r="T55" s="94"/>
      <c r="U55" s="154"/>
      <c r="V55" s="64" t="str">
        <f>IF(U55="","",LOOKUP(U55,概要と通り!$A$24:$A$54,概要と通り!$B$24:$B$54))</f>
        <v/>
      </c>
      <c r="W55" s="154"/>
      <c r="X55" s="155"/>
      <c r="Y55" s="64" t="str">
        <f t="shared" si="28"/>
        <v/>
      </c>
      <c r="Z55" s="156"/>
      <c r="AA55" s="64" t="str">
        <f t="shared" si="29"/>
        <v/>
      </c>
      <c r="AB55" s="158"/>
      <c r="AC55" s="63" t="str">
        <f t="shared" si="30"/>
        <v/>
      </c>
      <c r="AD55" s="83" t="str">
        <f t="shared" si="23"/>
        <v/>
      </c>
      <c r="AE55" s="13" t="str">
        <f>IF(AD55="","",LOOKUP(U55,概要と通り!$A$24:$A$54,概要と通り!$D$24:$D$54))</f>
        <v/>
      </c>
      <c r="AF55" s="13" t="str">
        <f t="shared" si="31"/>
        <v/>
      </c>
      <c r="AG55" s="13" t="str">
        <f t="shared" si="32"/>
        <v/>
      </c>
    </row>
    <row r="56" spans="1:33">
      <c r="A56" s="71"/>
      <c r="B56" s="71"/>
      <c r="C56" s="94"/>
      <c r="D56" s="154"/>
      <c r="E56" s="64" t="str">
        <f>IF(D56="","",LOOKUP(D56,概要と通り!$G$24:$G$54,概要と通り!$H$24:$H$54))</f>
        <v/>
      </c>
      <c r="F56" s="154"/>
      <c r="G56" s="155"/>
      <c r="H56" s="64" t="str">
        <f t="shared" si="24"/>
        <v/>
      </c>
      <c r="I56" s="156"/>
      <c r="J56" s="64" t="str">
        <f t="shared" si="25"/>
        <v/>
      </c>
      <c r="K56" s="157"/>
      <c r="L56" s="64" t="str">
        <f t="shared" si="26"/>
        <v/>
      </c>
      <c r="M56" s="83" t="str">
        <f t="shared" si="21"/>
        <v/>
      </c>
      <c r="N56" s="13" t="str">
        <f>IF(M56="","",LOOKUP(D56,概要と通り!$G$24:$G$54,概要と通り!$J$24:$J$54))</f>
        <v/>
      </c>
      <c r="O56" s="13" t="str">
        <f t="shared" si="27"/>
        <v/>
      </c>
      <c r="P56" s="13" t="str">
        <f t="shared" si="22"/>
        <v/>
      </c>
      <c r="R56" s="71"/>
      <c r="S56" s="71"/>
      <c r="T56" s="94"/>
      <c r="U56" s="154"/>
      <c r="V56" s="64" t="str">
        <f>IF(U56="","",LOOKUP(U56,概要と通り!$A$24:$A$54,概要と通り!$B$24:$B$54))</f>
        <v/>
      </c>
      <c r="W56" s="154"/>
      <c r="X56" s="155"/>
      <c r="Y56" s="64" t="str">
        <f t="shared" si="28"/>
        <v/>
      </c>
      <c r="Z56" s="156"/>
      <c r="AA56" s="64" t="str">
        <f t="shared" si="29"/>
        <v/>
      </c>
      <c r="AB56" s="158"/>
      <c r="AC56" s="63" t="str">
        <f t="shared" si="30"/>
        <v/>
      </c>
      <c r="AD56" s="83" t="str">
        <f t="shared" si="23"/>
        <v/>
      </c>
      <c r="AE56" s="13" t="str">
        <f>IF(AD56="","",LOOKUP(U56,概要と通り!$A$24:$A$54,概要と通り!$D$24:$D$54))</f>
        <v/>
      </c>
      <c r="AF56" s="13" t="str">
        <f t="shared" si="31"/>
        <v/>
      </c>
      <c r="AG56" s="13" t="str">
        <f t="shared" si="32"/>
        <v/>
      </c>
    </row>
    <row r="57" spans="1:33">
      <c r="A57" s="71"/>
      <c r="B57" s="71"/>
      <c r="C57" s="94"/>
      <c r="D57" s="154"/>
      <c r="E57" s="64" t="str">
        <f>IF(D57="","",LOOKUP(D57,概要と通り!$G$24:$G$54,概要と通り!$H$24:$H$54))</f>
        <v/>
      </c>
      <c r="F57" s="154"/>
      <c r="G57" s="155"/>
      <c r="H57" s="64" t="str">
        <f t="shared" si="24"/>
        <v/>
      </c>
      <c r="I57" s="156"/>
      <c r="J57" s="64" t="str">
        <f t="shared" si="25"/>
        <v/>
      </c>
      <c r="K57" s="157"/>
      <c r="L57" s="64" t="str">
        <f t="shared" si="26"/>
        <v/>
      </c>
      <c r="M57" s="83" t="str">
        <f t="shared" si="21"/>
        <v/>
      </c>
      <c r="N57" s="13" t="str">
        <f>IF(M57="","",LOOKUP(D57,概要と通り!$G$24:$G$54,概要と通り!$J$24:$J$54))</f>
        <v/>
      </c>
      <c r="O57" s="13" t="str">
        <f t="shared" si="27"/>
        <v/>
      </c>
      <c r="P57" s="13" t="str">
        <f t="shared" si="22"/>
        <v/>
      </c>
      <c r="R57" s="71"/>
      <c r="S57" s="71"/>
      <c r="T57" s="94"/>
      <c r="U57" s="154"/>
      <c r="V57" s="64" t="str">
        <f>IF(U57="","",LOOKUP(U57,概要と通り!$A$24:$A$54,概要と通り!$B$24:$B$54))</f>
        <v/>
      </c>
      <c r="W57" s="154"/>
      <c r="X57" s="155"/>
      <c r="Y57" s="64" t="str">
        <f t="shared" si="28"/>
        <v/>
      </c>
      <c r="Z57" s="156"/>
      <c r="AA57" s="64" t="str">
        <f t="shared" si="29"/>
        <v/>
      </c>
      <c r="AB57" s="158"/>
      <c r="AC57" s="63" t="str">
        <f t="shared" si="30"/>
        <v/>
      </c>
      <c r="AD57" s="83" t="str">
        <f t="shared" si="23"/>
        <v/>
      </c>
      <c r="AE57" s="13" t="str">
        <f>IF(AD57="","",LOOKUP(U57,概要と通り!$A$24:$A$54,概要と通り!$D$24:$D$54))</f>
        <v/>
      </c>
      <c r="AF57" s="13" t="str">
        <f t="shared" si="31"/>
        <v/>
      </c>
      <c r="AG57" s="13" t="str">
        <f t="shared" si="32"/>
        <v/>
      </c>
    </row>
    <row r="58" spans="1:33">
      <c r="A58" s="71"/>
      <c r="B58" s="71"/>
      <c r="C58" s="94"/>
      <c r="D58" s="154"/>
      <c r="E58" s="64" t="str">
        <f>IF(D58="","",LOOKUP(D58,概要と通り!$G$24:$G$54,概要と通り!$H$24:$H$54))</f>
        <v/>
      </c>
      <c r="F58" s="154"/>
      <c r="G58" s="155"/>
      <c r="H58" s="64" t="str">
        <f t="shared" si="24"/>
        <v/>
      </c>
      <c r="I58" s="156"/>
      <c r="J58" s="64" t="str">
        <f t="shared" si="25"/>
        <v/>
      </c>
      <c r="K58" s="157"/>
      <c r="L58" s="64" t="str">
        <f t="shared" si="26"/>
        <v/>
      </c>
      <c r="M58" s="83" t="str">
        <f t="shared" si="21"/>
        <v/>
      </c>
      <c r="N58" s="13" t="str">
        <f>IF(M58="","",LOOKUP(D58,概要と通り!$G$24:$G$54,概要と通り!$J$24:$J$54))</f>
        <v/>
      </c>
      <c r="O58" s="13" t="str">
        <f t="shared" si="27"/>
        <v/>
      </c>
      <c r="P58" s="13" t="str">
        <f t="shared" si="22"/>
        <v/>
      </c>
      <c r="R58" s="71"/>
      <c r="S58" s="71"/>
      <c r="T58" s="94"/>
      <c r="U58" s="154"/>
      <c r="V58" s="64" t="str">
        <f>IF(U58="","",LOOKUP(U58,概要と通り!$A$24:$A$54,概要と通り!$B$24:$B$54))</f>
        <v/>
      </c>
      <c r="W58" s="154"/>
      <c r="X58" s="155"/>
      <c r="Y58" s="64" t="str">
        <f t="shared" si="28"/>
        <v/>
      </c>
      <c r="Z58" s="156"/>
      <c r="AA58" s="64" t="str">
        <f t="shared" si="29"/>
        <v/>
      </c>
      <c r="AB58" s="158"/>
      <c r="AC58" s="63" t="str">
        <f t="shared" si="30"/>
        <v/>
      </c>
      <c r="AD58" s="83" t="str">
        <f t="shared" si="23"/>
        <v/>
      </c>
      <c r="AE58" s="13" t="str">
        <f>IF(AD58="","",LOOKUP(U58,概要と通り!$A$24:$A$54,概要と通り!$D$24:$D$54))</f>
        <v/>
      </c>
      <c r="AF58" s="13" t="str">
        <f t="shared" si="31"/>
        <v/>
      </c>
      <c r="AG58" s="13" t="str">
        <f t="shared" si="32"/>
        <v/>
      </c>
    </row>
    <row r="59" spans="1:33">
      <c r="A59" s="71"/>
      <c r="B59" s="71"/>
      <c r="C59" s="94"/>
      <c r="D59" s="154"/>
      <c r="E59" s="64" t="str">
        <f>IF(D59="","",LOOKUP(D59,概要と通り!$G$24:$G$54,概要と通り!$H$24:$H$54))</f>
        <v/>
      </c>
      <c r="F59" s="154"/>
      <c r="G59" s="155"/>
      <c r="H59" s="64" t="str">
        <f t="shared" si="24"/>
        <v/>
      </c>
      <c r="I59" s="156"/>
      <c r="J59" s="64" t="str">
        <f t="shared" si="25"/>
        <v/>
      </c>
      <c r="K59" s="157"/>
      <c r="L59" s="64" t="str">
        <f t="shared" si="26"/>
        <v/>
      </c>
      <c r="M59" s="83" t="str">
        <f t="shared" si="21"/>
        <v/>
      </c>
      <c r="N59" s="13" t="str">
        <f>IF(M59="","",LOOKUP(D59,概要と通り!$G$24:$G$54,概要と通り!$J$24:$J$54))</f>
        <v/>
      </c>
      <c r="O59" s="13" t="str">
        <f t="shared" si="27"/>
        <v/>
      </c>
      <c r="P59" s="13" t="str">
        <f t="shared" si="22"/>
        <v/>
      </c>
      <c r="R59" s="71"/>
      <c r="S59" s="71"/>
      <c r="T59" s="94"/>
      <c r="U59" s="154"/>
      <c r="V59" s="64" t="str">
        <f>IF(U59="","",LOOKUP(U59,概要と通り!$A$24:$A$54,概要と通り!$B$24:$B$54))</f>
        <v/>
      </c>
      <c r="W59" s="154"/>
      <c r="X59" s="155"/>
      <c r="Y59" s="64" t="str">
        <f t="shared" si="28"/>
        <v/>
      </c>
      <c r="Z59" s="156"/>
      <c r="AA59" s="64" t="str">
        <f t="shared" si="29"/>
        <v/>
      </c>
      <c r="AB59" s="158"/>
      <c r="AC59" s="63" t="str">
        <f t="shared" si="30"/>
        <v/>
      </c>
      <c r="AD59" s="83" t="str">
        <f t="shared" si="23"/>
        <v/>
      </c>
      <c r="AE59" s="13" t="str">
        <f>IF(AD59="","",LOOKUP(U59,概要と通り!$A$24:$A$54,概要と通り!$D$24:$D$54))</f>
        <v/>
      </c>
      <c r="AF59" s="13" t="str">
        <f t="shared" si="31"/>
        <v/>
      </c>
      <c r="AG59" s="13" t="str">
        <f t="shared" si="32"/>
        <v/>
      </c>
    </row>
    <row r="60" spans="1:33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73" t="s">
        <v>203</v>
      </c>
      <c r="L60" s="75"/>
      <c r="M60" s="83">
        <f>SUM(M5:M59)</f>
        <v>0</v>
      </c>
      <c r="N60" s="163"/>
      <c r="O60" s="13">
        <f>SUM(O5:O59)</f>
        <v>0</v>
      </c>
      <c r="P60" s="13">
        <f>SUM(P5:P59)</f>
        <v>0</v>
      </c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73" t="s">
        <v>203</v>
      </c>
      <c r="AC60" s="75"/>
      <c r="AD60" s="83">
        <f>SUM(AD5:AD59)</f>
        <v>0</v>
      </c>
      <c r="AE60" s="163"/>
      <c r="AF60" s="13">
        <f>SUM(AF5:AF59)</f>
        <v>0</v>
      </c>
      <c r="AG60" s="13">
        <f>SUM(AG5:AG59)</f>
        <v>0</v>
      </c>
    </row>
    <row r="62" spans="1:33">
      <c r="A62" s="85" t="s">
        <v>237</v>
      </c>
      <c r="B62" s="119"/>
      <c r="C62" s="119"/>
      <c r="D62" s="119"/>
      <c r="E62" s="119"/>
      <c r="F62" s="119"/>
      <c r="G62" s="119"/>
      <c r="H62" s="119"/>
      <c r="I62" s="119"/>
      <c r="J62" s="119"/>
      <c r="K62" s="86"/>
      <c r="M62" s="85"/>
      <c r="N62" s="86" t="s">
        <v>83</v>
      </c>
      <c r="O62" s="151" t="s">
        <v>84</v>
      </c>
      <c r="P62" s="152">
        <f>重心!L39</f>
        <v>0</v>
      </c>
      <c r="R62" s="85" t="s">
        <v>237</v>
      </c>
      <c r="S62" s="119"/>
      <c r="T62" s="119"/>
      <c r="U62" s="119"/>
      <c r="V62" s="119"/>
      <c r="W62" s="119"/>
      <c r="X62" s="119"/>
      <c r="Y62" s="119"/>
      <c r="Z62" s="119"/>
      <c r="AA62" s="119"/>
      <c r="AB62" s="86"/>
      <c r="AD62" s="85"/>
      <c r="AE62" s="86" t="s">
        <v>83</v>
      </c>
      <c r="AF62" s="151" t="s">
        <v>192</v>
      </c>
      <c r="AG62" s="152">
        <f>重心!M39</f>
        <v>0</v>
      </c>
    </row>
    <row r="63" spans="1:33">
      <c r="A63" s="87"/>
      <c r="B63" s="120"/>
      <c r="C63" s="120"/>
      <c r="D63" s="120"/>
      <c r="E63" s="120"/>
      <c r="F63" s="120"/>
      <c r="G63" s="120"/>
      <c r="H63" s="120"/>
      <c r="I63" s="120"/>
      <c r="J63" s="120"/>
      <c r="K63" s="88"/>
      <c r="M63" s="87"/>
      <c r="N63" s="88" t="s">
        <v>81</v>
      </c>
      <c r="O63" s="153" t="s">
        <v>75</v>
      </c>
      <c r="P63" s="140">
        <f>IF(M60=0,0,O60/M60)</f>
        <v>0</v>
      </c>
      <c r="R63" s="87"/>
      <c r="S63" s="120"/>
      <c r="T63" s="120"/>
      <c r="U63" s="120"/>
      <c r="V63" s="120"/>
      <c r="W63" s="120"/>
      <c r="X63" s="120"/>
      <c r="Y63" s="120"/>
      <c r="Z63" s="120"/>
      <c r="AA63" s="120"/>
      <c r="AB63" s="88"/>
      <c r="AD63" s="87"/>
      <c r="AE63" s="88" t="s">
        <v>81</v>
      </c>
      <c r="AF63" s="153" t="s">
        <v>191</v>
      </c>
      <c r="AG63" s="140">
        <f>IF(AD60=0,0,AF60/AD60)</f>
        <v>0</v>
      </c>
    </row>
    <row r="64" spans="1:33">
      <c r="A64" s="87"/>
      <c r="B64" s="120"/>
      <c r="C64" s="120"/>
      <c r="D64" s="120"/>
      <c r="E64" s="120"/>
      <c r="F64" s="120"/>
      <c r="G64" s="120"/>
      <c r="H64" s="120"/>
      <c r="I64" s="120"/>
      <c r="J64" s="120"/>
      <c r="K64" s="88"/>
      <c r="M64" s="87"/>
      <c r="N64" s="88" t="s">
        <v>82</v>
      </c>
      <c r="O64" s="89" t="s">
        <v>231</v>
      </c>
      <c r="P64" s="140">
        <f>ABS(P63-P62)</f>
        <v>0</v>
      </c>
      <c r="R64" s="87"/>
      <c r="S64" s="120"/>
      <c r="T64" s="120"/>
      <c r="U64" s="120"/>
      <c r="V64" s="120"/>
      <c r="W64" s="120"/>
      <c r="X64" s="120"/>
      <c r="Y64" s="120"/>
      <c r="Z64" s="120"/>
      <c r="AA64" s="120"/>
      <c r="AB64" s="88"/>
      <c r="AD64" s="87"/>
      <c r="AE64" s="88" t="s">
        <v>82</v>
      </c>
      <c r="AF64" s="89" t="s">
        <v>232</v>
      </c>
      <c r="AG64" s="140">
        <f>ABS(AG63-AG62)</f>
        <v>0</v>
      </c>
    </row>
    <row r="65" spans="1:33">
      <c r="A65" s="87"/>
      <c r="B65" s="120"/>
      <c r="C65" s="120"/>
      <c r="D65" s="120"/>
      <c r="E65" s="120"/>
      <c r="F65" s="120"/>
      <c r="G65" s="120"/>
      <c r="H65" s="120"/>
      <c r="I65" s="120"/>
      <c r="J65" s="120"/>
      <c r="K65" s="88"/>
      <c r="M65" s="87"/>
      <c r="N65" s="88" t="s">
        <v>85</v>
      </c>
      <c r="O65" s="89" t="s">
        <v>86</v>
      </c>
      <c r="P65" s="140">
        <f>IF(M60=0,0,SQRT(($P$60+$AG$60)/M60))</f>
        <v>0</v>
      </c>
      <c r="R65" s="87"/>
      <c r="S65" s="120"/>
      <c r="T65" s="120"/>
      <c r="U65" s="120"/>
      <c r="V65" s="120"/>
      <c r="W65" s="120"/>
      <c r="X65" s="120"/>
      <c r="Y65" s="120"/>
      <c r="Z65" s="120"/>
      <c r="AA65" s="120"/>
      <c r="AB65" s="88"/>
      <c r="AD65" s="87"/>
      <c r="AE65" s="88" t="s">
        <v>85</v>
      </c>
      <c r="AF65" s="89" t="s">
        <v>149</v>
      </c>
      <c r="AG65" s="140">
        <f>IF(AD60=0,0,SQRT(($P$60+$AG$60)/AD60))</f>
        <v>0</v>
      </c>
    </row>
    <row r="66" spans="1:33">
      <c r="A66" s="90"/>
      <c r="B66" s="121"/>
      <c r="C66" s="121"/>
      <c r="D66" s="121"/>
      <c r="E66" s="121"/>
      <c r="F66" s="121"/>
      <c r="G66" s="121"/>
      <c r="H66" s="121"/>
      <c r="I66" s="121"/>
      <c r="J66" s="121"/>
      <c r="K66" s="91"/>
      <c r="M66" s="90"/>
      <c r="N66" s="91" t="s">
        <v>87</v>
      </c>
      <c r="O66" s="92" t="s">
        <v>88</v>
      </c>
      <c r="P66" s="141">
        <f>IF(M60=0,0,P64/P65)</f>
        <v>0</v>
      </c>
      <c r="R66" s="90"/>
      <c r="S66" s="121"/>
      <c r="T66" s="121"/>
      <c r="U66" s="121"/>
      <c r="V66" s="121"/>
      <c r="W66" s="121"/>
      <c r="X66" s="121"/>
      <c r="Y66" s="121"/>
      <c r="Z66" s="121"/>
      <c r="AA66" s="121"/>
      <c r="AB66" s="91"/>
      <c r="AD66" s="90"/>
      <c r="AE66" s="91" t="s">
        <v>87</v>
      </c>
      <c r="AF66" s="92" t="s">
        <v>150</v>
      </c>
      <c r="AG66" s="141">
        <f>IF(AD60=0,0,AG64/AG65)</f>
        <v>0</v>
      </c>
    </row>
  </sheetData>
  <sheetProtection password="C93A" sheet="1" objects="1" scenarios="1"/>
  <protectedRanges>
    <protectedRange sqref="N52 A62:K66 R62:AB66" name="範囲2"/>
    <protectedRange sqref="C5:D59 F5:G59 I5:I59 K5:K59 T5:U59 W5:X59 Z5:Z59 AB5:AB59" name="範囲1"/>
  </protectedRanges>
  <phoneticPr fontId="1"/>
  <pageMargins left="0.59055118110236227" right="0.59055118110236227" top="0.74803149606299213" bottom="0.74803149606299213" header="0.31496062992125984" footer="0.31496062992125984"/>
  <pageSetup paperSize="9" orientation="portrait" blackAndWhite="1" r:id="rId1"/>
  <headerFooter alignWithMargins="0">
    <oddHeader>&amp;L&amp;"ＭＳ 明朝,斜体"&amp;9各階の床面積を考慮した必要耐力の算出法【精算法】Ver1.00　　　P.&amp;P&amp;R&amp;"ＭＳ 明朝,斜体"&amp;9&amp;D   &amp;T</oddHeader>
    <oddFooter>&amp;R&amp;10石川県建築士事務所協会</oddFooter>
  </headerFooter>
  <colBreaks count="1" manualBreakCount="1">
    <brk id="16" max="6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X61"/>
  <sheetViews>
    <sheetView view="pageBreakPreview" topLeftCell="A25" zoomScaleNormal="100" workbookViewId="0">
      <selection activeCell="H21" sqref="H21"/>
    </sheetView>
  </sheetViews>
  <sheetFormatPr defaultRowHeight="12"/>
  <cols>
    <col min="1" max="1" width="4.5" style="19" customWidth="1"/>
    <col min="2" max="2" width="4.375" style="19" customWidth="1"/>
    <col min="3" max="3" width="5" style="19" customWidth="1"/>
    <col min="4" max="4" width="11.125" style="19" customWidth="1"/>
    <col min="5" max="5" width="11.75" style="19" customWidth="1"/>
    <col min="6" max="6" width="11.125" style="19" customWidth="1"/>
    <col min="7" max="7" width="14" style="19" customWidth="1"/>
    <col min="8" max="8" width="12.375" style="19" customWidth="1"/>
    <col min="9" max="9" width="13.875" style="19" customWidth="1"/>
    <col min="10" max="10" width="3.75" style="19" customWidth="1"/>
    <col min="11" max="11" width="1.375" style="19" customWidth="1"/>
    <col min="12" max="19" width="9" style="19"/>
    <col min="20" max="20" width="10.25" style="19" customWidth="1"/>
    <col min="21" max="252" width="9" style="19"/>
    <col min="253" max="253" width="5.625" style="19" customWidth="1"/>
    <col min="254" max="254" width="4.375" style="19" customWidth="1"/>
    <col min="255" max="255" width="5.5" style="19" customWidth="1"/>
    <col min="256" max="261" width="10.125" style="19" customWidth="1"/>
    <col min="262" max="262" width="12.625" style="19" customWidth="1"/>
    <col min="263" max="263" width="1.375" style="19" customWidth="1"/>
    <col min="264" max="508" width="9" style="19"/>
    <col min="509" max="509" width="5.625" style="19" customWidth="1"/>
    <col min="510" max="510" width="4.375" style="19" customWidth="1"/>
    <col min="511" max="511" width="5.5" style="19" customWidth="1"/>
    <col min="512" max="517" width="10.125" style="19" customWidth="1"/>
    <col min="518" max="518" width="12.625" style="19" customWidth="1"/>
    <col min="519" max="519" width="1.375" style="19" customWidth="1"/>
    <col min="520" max="764" width="9" style="19"/>
    <col min="765" max="765" width="5.625" style="19" customWidth="1"/>
    <col min="766" max="766" width="4.375" style="19" customWidth="1"/>
    <col min="767" max="767" width="5.5" style="19" customWidth="1"/>
    <col min="768" max="773" width="10.125" style="19" customWidth="1"/>
    <col min="774" max="774" width="12.625" style="19" customWidth="1"/>
    <col min="775" max="775" width="1.375" style="19" customWidth="1"/>
    <col min="776" max="1020" width="9" style="19"/>
    <col min="1021" max="1021" width="5.625" style="19" customWidth="1"/>
    <col min="1022" max="1022" width="4.375" style="19" customWidth="1"/>
    <col min="1023" max="1023" width="5.5" style="19" customWidth="1"/>
    <col min="1024" max="1029" width="10.125" style="19" customWidth="1"/>
    <col min="1030" max="1030" width="12.625" style="19" customWidth="1"/>
    <col min="1031" max="1031" width="1.375" style="19" customWidth="1"/>
    <col min="1032" max="1276" width="9" style="19"/>
    <col min="1277" max="1277" width="5.625" style="19" customWidth="1"/>
    <col min="1278" max="1278" width="4.375" style="19" customWidth="1"/>
    <col min="1279" max="1279" width="5.5" style="19" customWidth="1"/>
    <col min="1280" max="1285" width="10.125" style="19" customWidth="1"/>
    <col min="1286" max="1286" width="12.625" style="19" customWidth="1"/>
    <col min="1287" max="1287" width="1.375" style="19" customWidth="1"/>
    <col min="1288" max="1532" width="9" style="19"/>
    <col min="1533" max="1533" width="5.625" style="19" customWidth="1"/>
    <col min="1534" max="1534" width="4.375" style="19" customWidth="1"/>
    <col min="1535" max="1535" width="5.5" style="19" customWidth="1"/>
    <col min="1536" max="1541" width="10.125" style="19" customWidth="1"/>
    <col min="1542" max="1542" width="12.625" style="19" customWidth="1"/>
    <col min="1543" max="1543" width="1.375" style="19" customWidth="1"/>
    <col min="1544" max="1788" width="9" style="19"/>
    <col min="1789" max="1789" width="5.625" style="19" customWidth="1"/>
    <col min="1790" max="1790" width="4.375" style="19" customWidth="1"/>
    <col min="1791" max="1791" width="5.5" style="19" customWidth="1"/>
    <col min="1792" max="1797" width="10.125" style="19" customWidth="1"/>
    <col min="1798" max="1798" width="12.625" style="19" customWidth="1"/>
    <col min="1799" max="1799" width="1.375" style="19" customWidth="1"/>
    <col min="1800" max="2044" width="9" style="19"/>
    <col min="2045" max="2045" width="5.625" style="19" customWidth="1"/>
    <col min="2046" max="2046" width="4.375" style="19" customWidth="1"/>
    <col min="2047" max="2047" width="5.5" style="19" customWidth="1"/>
    <col min="2048" max="2053" width="10.125" style="19" customWidth="1"/>
    <col min="2054" max="2054" width="12.625" style="19" customWidth="1"/>
    <col min="2055" max="2055" width="1.375" style="19" customWidth="1"/>
    <col min="2056" max="2300" width="9" style="19"/>
    <col min="2301" max="2301" width="5.625" style="19" customWidth="1"/>
    <col min="2302" max="2302" width="4.375" style="19" customWidth="1"/>
    <col min="2303" max="2303" width="5.5" style="19" customWidth="1"/>
    <col min="2304" max="2309" width="10.125" style="19" customWidth="1"/>
    <col min="2310" max="2310" width="12.625" style="19" customWidth="1"/>
    <col min="2311" max="2311" width="1.375" style="19" customWidth="1"/>
    <col min="2312" max="2556" width="9" style="19"/>
    <col min="2557" max="2557" width="5.625" style="19" customWidth="1"/>
    <col min="2558" max="2558" width="4.375" style="19" customWidth="1"/>
    <col min="2559" max="2559" width="5.5" style="19" customWidth="1"/>
    <col min="2560" max="2565" width="10.125" style="19" customWidth="1"/>
    <col min="2566" max="2566" width="12.625" style="19" customWidth="1"/>
    <col min="2567" max="2567" width="1.375" style="19" customWidth="1"/>
    <col min="2568" max="2812" width="9" style="19"/>
    <col min="2813" max="2813" width="5.625" style="19" customWidth="1"/>
    <col min="2814" max="2814" width="4.375" style="19" customWidth="1"/>
    <col min="2815" max="2815" width="5.5" style="19" customWidth="1"/>
    <col min="2816" max="2821" width="10.125" style="19" customWidth="1"/>
    <col min="2822" max="2822" width="12.625" style="19" customWidth="1"/>
    <col min="2823" max="2823" width="1.375" style="19" customWidth="1"/>
    <col min="2824" max="3068" width="9" style="19"/>
    <col min="3069" max="3069" width="5.625" style="19" customWidth="1"/>
    <col min="3070" max="3070" width="4.375" style="19" customWidth="1"/>
    <col min="3071" max="3071" width="5.5" style="19" customWidth="1"/>
    <col min="3072" max="3077" width="10.125" style="19" customWidth="1"/>
    <col min="3078" max="3078" width="12.625" style="19" customWidth="1"/>
    <col min="3079" max="3079" width="1.375" style="19" customWidth="1"/>
    <col min="3080" max="3324" width="9" style="19"/>
    <col min="3325" max="3325" width="5.625" style="19" customWidth="1"/>
    <col min="3326" max="3326" width="4.375" style="19" customWidth="1"/>
    <col min="3327" max="3327" width="5.5" style="19" customWidth="1"/>
    <col min="3328" max="3333" width="10.125" style="19" customWidth="1"/>
    <col min="3334" max="3334" width="12.625" style="19" customWidth="1"/>
    <col min="3335" max="3335" width="1.375" style="19" customWidth="1"/>
    <col min="3336" max="3580" width="9" style="19"/>
    <col min="3581" max="3581" width="5.625" style="19" customWidth="1"/>
    <col min="3582" max="3582" width="4.375" style="19" customWidth="1"/>
    <col min="3583" max="3583" width="5.5" style="19" customWidth="1"/>
    <col min="3584" max="3589" width="10.125" style="19" customWidth="1"/>
    <col min="3590" max="3590" width="12.625" style="19" customWidth="1"/>
    <col min="3591" max="3591" width="1.375" style="19" customWidth="1"/>
    <col min="3592" max="3836" width="9" style="19"/>
    <col min="3837" max="3837" width="5.625" style="19" customWidth="1"/>
    <col min="3838" max="3838" width="4.375" style="19" customWidth="1"/>
    <col min="3839" max="3839" width="5.5" style="19" customWidth="1"/>
    <col min="3840" max="3845" width="10.125" style="19" customWidth="1"/>
    <col min="3846" max="3846" width="12.625" style="19" customWidth="1"/>
    <col min="3847" max="3847" width="1.375" style="19" customWidth="1"/>
    <col min="3848" max="4092" width="9" style="19"/>
    <col min="4093" max="4093" width="5.625" style="19" customWidth="1"/>
    <col min="4094" max="4094" width="4.375" style="19" customWidth="1"/>
    <col min="4095" max="4095" width="5.5" style="19" customWidth="1"/>
    <col min="4096" max="4101" width="10.125" style="19" customWidth="1"/>
    <col min="4102" max="4102" width="12.625" style="19" customWidth="1"/>
    <col min="4103" max="4103" width="1.375" style="19" customWidth="1"/>
    <col min="4104" max="4348" width="9" style="19"/>
    <col min="4349" max="4349" width="5.625" style="19" customWidth="1"/>
    <col min="4350" max="4350" width="4.375" style="19" customWidth="1"/>
    <col min="4351" max="4351" width="5.5" style="19" customWidth="1"/>
    <col min="4352" max="4357" width="10.125" style="19" customWidth="1"/>
    <col min="4358" max="4358" width="12.625" style="19" customWidth="1"/>
    <col min="4359" max="4359" width="1.375" style="19" customWidth="1"/>
    <col min="4360" max="4604" width="9" style="19"/>
    <col min="4605" max="4605" width="5.625" style="19" customWidth="1"/>
    <col min="4606" max="4606" width="4.375" style="19" customWidth="1"/>
    <col min="4607" max="4607" width="5.5" style="19" customWidth="1"/>
    <col min="4608" max="4613" width="10.125" style="19" customWidth="1"/>
    <col min="4614" max="4614" width="12.625" style="19" customWidth="1"/>
    <col min="4615" max="4615" width="1.375" style="19" customWidth="1"/>
    <col min="4616" max="4860" width="9" style="19"/>
    <col min="4861" max="4861" width="5.625" style="19" customWidth="1"/>
    <col min="4862" max="4862" width="4.375" style="19" customWidth="1"/>
    <col min="4863" max="4863" width="5.5" style="19" customWidth="1"/>
    <col min="4864" max="4869" width="10.125" style="19" customWidth="1"/>
    <col min="4870" max="4870" width="12.625" style="19" customWidth="1"/>
    <col min="4871" max="4871" width="1.375" style="19" customWidth="1"/>
    <col min="4872" max="5116" width="9" style="19"/>
    <col min="5117" max="5117" width="5.625" style="19" customWidth="1"/>
    <col min="5118" max="5118" width="4.375" style="19" customWidth="1"/>
    <col min="5119" max="5119" width="5.5" style="19" customWidth="1"/>
    <col min="5120" max="5125" width="10.125" style="19" customWidth="1"/>
    <col min="5126" max="5126" width="12.625" style="19" customWidth="1"/>
    <col min="5127" max="5127" width="1.375" style="19" customWidth="1"/>
    <col min="5128" max="5372" width="9" style="19"/>
    <col min="5373" max="5373" width="5.625" style="19" customWidth="1"/>
    <col min="5374" max="5374" width="4.375" style="19" customWidth="1"/>
    <col min="5375" max="5375" width="5.5" style="19" customWidth="1"/>
    <col min="5376" max="5381" width="10.125" style="19" customWidth="1"/>
    <col min="5382" max="5382" width="12.625" style="19" customWidth="1"/>
    <col min="5383" max="5383" width="1.375" style="19" customWidth="1"/>
    <col min="5384" max="5628" width="9" style="19"/>
    <col min="5629" max="5629" width="5.625" style="19" customWidth="1"/>
    <col min="5630" max="5630" width="4.375" style="19" customWidth="1"/>
    <col min="5631" max="5631" width="5.5" style="19" customWidth="1"/>
    <col min="5632" max="5637" width="10.125" style="19" customWidth="1"/>
    <col min="5638" max="5638" width="12.625" style="19" customWidth="1"/>
    <col min="5639" max="5639" width="1.375" style="19" customWidth="1"/>
    <col min="5640" max="5884" width="9" style="19"/>
    <col min="5885" max="5885" width="5.625" style="19" customWidth="1"/>
    <col min="5886" max="5886" width="4.375" style="19" customWidth="1"/>
    <col min="5887" max="5887" width="5.5" style="19" customWidth="1"/>
    <col min="5888" max="5893" width="10.125" style="19" customWidth="1"/>
    <col min="5894" max="5894" width="12.625" style="19" customWidth="1"/>
    <col min="5895" max="5895" width="1.375" style="19" customWidth="1"/>
    <col min="5896" max="6140" width="9" style="19"/>
    <col min="6141" max="6141" width="5.625" style="19" customWidth="1"/>
    <col min="6142" max="6142" width="4.375" style="19" customWidth="1"/>
    <col min="6143" max="6143" width="5.5" style="19" customWidth="1"/>
    <col min="6144" max="6149" width="10.125" style="19" customWidth="1"/>
    <col min="6150" max="6150" width="12.625" style="19" customWidth="1"/>
    <col min="6151" max="6151" width="1.375" style="19" customWidth="1"/>
    <col min="6152" max="6396" width="9" style="19"/>
    <col min="6397" max="6397" width="5.625" style="19" customWidth="1"/>
    <col min="6398" max="6398" width="4.375" style="19" customWidth="1"/>
    <col min="6399" max="6399" width="5.5" style="19" customWidth="1"/>
    <col min="6400" max="6405" width="10.125" style="19" customWidth="1"/>
    <col min="6406" max="6406" width="12.625" style="19" customWidth="1"/>
    <col min="6407" max="6407" width="1.375" style="19" customWidth="1"/>
    <col min="6408" max="6652" width="9" style="19"/>
    <col min="6653" max="6653" width="5.625" style="19" customWidth="1"/>
    <col min="6654" max="6654" width="4.375" style="19" customWidth="1"/>
    <col min="6655" max="6655" width="5.5" style="19" customWidth="1"/>
    <col min="6656" max="6661" width="10.125" style="19" customWidth="1"/>
    <col min="6662" max="6662" width="12.625" style="19" customWidth="1"/>
    <col min="6663" max="6663" width="1.375" style="19" customWidth="1"/>
    <col min="6664" max="6908" width="9" style="19"/>
    <col min="6909" max="6909" width="5.625" style="19" customWidth="1"/>
    <col min="6910" max="6910" width="4.375" style="19" customWidth="1"/>
    <col min="6911" max="6911" width="5.5" style="19" customWidth="1"/>
    <col min="6912" max="6917" width="10.125" style="19" customWidth="1"/>
    <col min="6918" max="6918" width="12.625" style="19" customWidth="1"/>
    <col min="6919" max="6919" width="1.375" style="19" customWidth="1"/>
    <col min="6920" max="7164" width="9" style="19"/>
    <col min="7165" max="7165" width="5.625" style="19" customWidth="1"/>
    <col min="7166" max="7166" width="4.375" style="19" customWidth="1"/>
    <col min="7167" max="7167" width="5.5" style="19" customWidth="1"/>
    <col min="7168" max="7173" width="10.125" style="19" customWidth="1"/>
    <col min="7174" max="7174" width="12.625" style="19" customWidth="1"/>
    <col min="7175" max="7175" width="1.375" style="19" customWidth="1"/>
    <col min="7176" max="7420" width="9" style="19"/>
    <col min="7421" max="7421" width="5.625" style="19" customWidth="1"/>
    <col min="7422" max="7422" width="4.375" style="19" customWidth="1"/>
    <col min="7423" max="7423" width="5.5" style="19" customWidth="1"/>
    <col min="7424" max="7429" width="10.125" style="19" customWidth="1"/>
    <col min="7430" max="7430" width="12.625" style="19" customWidth="1"/>
    <col min="7431" max="7431" width="1.375" style="19" customWidth="1"/>
    <col min="7432" max="7676" width="9" style="19"/>
    <col min="7677" max="7677" width="5.625" style="19" customWidth="1"/>
    <col min="7678" max="7678" width="4.375" style="19" customWidth="1"/>
    <col min="7679" max="7679" width="5.5" style="19" customWidth="1"/>
    <col min="7680" max="7685" width="10.125" style="19" customWidth="1"/>
    <col min="7686" max="7686" width="12.625" style="19" customWidth="1"/>
    <col min="7687" max="7687" width="1.375" style="19" customWidth="1"/>
    <col min="7688" max="7932" width="9" style="19"/>
    <col min="7933" max="7933" width="5.625" style="19" customWidth="1"/>
    <col min="7934" max="7934" width="4.375" style="19" customWidth="1"/>
    <col min="7935" max="7935" width="5.5" style="19" customWidth="1"/>
    <col min="7936" max="7941" width="10.125" style="19" customWidth="1"/>
    <col min="7942" max="7942" width="12.625" style="19" customWidth="1"/>
    <col min="7943" max="7943" width="1.375" style="19" customWidth="1"/>
    <col min="7944" max="8188" width="9" style="19"/>
    <col min="8189" max="8189" width="5.625" style="19" customWidth="1"/>
    <col min="8190" max="8190" width="4.375" style="19" customWidth="1"/>
    <col min="8191" max="8191" width="5.5" style="19" customWidth="1"/>
    <col min="8192" max="8197" width="10.125" style="19" customWidth="1"/>
    <col min="8198" max="8198" width="12.625" style="19" customWidth="1"/>
    <col min="8199" max="8199" width="1.375" style="19" customWidth="1"/>
    <col min="8200" max="8444" width="9" style="19"/>
    <col min="8445" max="8445" width="5.625" style="19" customWidth="1"/>
    <col min="8446" max="8446" width="4.375" style="19" customWidth="1"/>
    <col min="8447" max="8447" width="5.5" style="19" customWidth="1"/>
    <col min="8448" max="8453" width="10.125" style="19" customWidth="1"/>
    <col min="8454" max="8454" width="12.625" style="19" customWidth="1"/>
    <col min="8455" max="8455" width="1.375" style="19" customWidth="1"/>
    <col min="8456" max="8700" width="9" style="19"/>
    <col min="8701" max="8701" width="5.625" style="19" customWidth="1"/>
    <col min="8702" max="8702" width="4.375" style="19" customWidth="1"/>
    <col min="8703" max="8703" width="5.5" style="19" customWidth="1"/>
    <col min="8704" max="8709" width="10.125" style="19" customWidth="1"/>
    <col min="8710" max="8710" width="12.625" style="19" customWidth="1"/>
    <col min="8711" max="8711" width="1.375" style="19" customWidth="1"/>
    <col min="8712" max="8956" width="9" style="19"/>
    <col min="8957" max="8957" width="5.625" style="19" customWidth="1"/>
    <col min="8958" max="8958" width="4.375" style="19" customWidth="1"/>
    <col min="8959" max="8959" width="5.5" style="19" customWidth="1"/>
    <col min="8960" max="8965" width="10.125" style="19" customWidth="1"/>
    <col min="8966" max="8966" width="12.625" style="19" customWidth="1"/>
    <col min="8967" max="8967" width="1.375" style="19" customWidth="1"/>
    <col min="8968" max="9212" width="9" style="19"/>
    <col min="9213" max="9213" width="5.625" style="19" customWidth="1"/>
    <col min="9214" max="9214" width="4.375" style="19" customWidth="1"/>
    <col min="9215" max="9215" width="5.5" style="19" customWidth="1"/>
    <col min="9216" max="9221" width="10.125" style="19" customWidth="1"/>
    <col min="9222" max="9222" width="12.625" style="19" customWidth="1"/>
    <col min="9223" max="9223" width="1.375" style="19" customWidth="1"/>
    <col min="9224" max="9468" width="9" style="19"/>
    <col min="9469" max="9469" width="5.625" style="19" customWidth="1"/>
    <col min="9470" max="9470" width="4.375" style="19" customWidth="1"/>
    <col min="9471" max="9471" width="5.5" style="19" customWidth="1"/>
    <col min="9472" max="9477" width="10.125" style="19" customWidth="1"/>
    <col min="9478" max="9478" width="12.625" style="19" customWidth="1"/>
    <col min="9479" max="9479" width="1.375" style="19" customWidth="1"/>
    <col min="9480" max="9724" width="9" style="19"/>
    <col min="9725" max="9725" width="5.625" style="19" customWidth="1"/>
    <col min="9726" max="9726" width="4.375" style="19" customWidth="1"/>
    <col min="9727" max="9727" width="5.5" style="19" customWidth="1"/>
    <col min="9728" max="9733" width="10.125" style="19" customWidth="1"/>
    <col min="9734" max="9734" width="12.625" style="19" customWidth="1"/>
    <col min="9735" max="9735" width="1.375" style="19" customWidth="1"/>
    <col min="9736" max="9980" width="9" style="19"/>
    <col min="9981" max="9981" width="5.625" style="19" customWidth="1"/>
    <col min="9982" max="9982" width="4.375" style="19" customWidth="1"/>
    <col min="9983" max="9983" width="5.5" style="19" customWidth="1"/>
    <col min="9984" max="9989" width="10.125" style="19" customWidth="1"/>
    <col min="9990" max="9990" width="12.625" style="19" customWidth="1"/>
    <col min="9991" max="9991" width="1.375" style="19" customWidth="1"/>
    <col min="9992" max="10236" width="9" style="19"/>
    <col min="10237" max="10237" width="5.625" style="19" customWidth="1"/>
    <col min="10238" max="10238" width="4.375" style="19" customWidth="1"/>
    <col min="10239" max="10239" width="5.5" style="19" customWidth="1"/>
    <col min="10240" max="10245" width="10.125" style="19" customWidth="1"/>
    <col min="10246" max="10246" width="12.625" style="19" customWidth="1"/>
    <col min="10247" max="10247" width="1.375" style="19" customWidth="1"/>
    <col min="10248" max="10492" width="9" style="19"/>
    <col min="10493" max="10493" width="5.625" style="19" customWidth="1"/>
    <col min="10494" max="10494" width="4.375" style="19" customWidth="1"/>
    <col min="10495" max="10495" width="5.5" style="19" customWidth="1"/>
    <col min="10496" max="10501" width="10.125" style="19" customWidth="1"/>
    <col min="10502" max="10502" width="12.625" style="19" customWidth="1"/>
    <col min="10503" max="10503" width="1.375" style="19" customWidth="1"/>
    <col min="10504" max="10748" width="9" style="19"/>
    <col min="10749" max="10749" width="5.625" style="19" customWidth="1"/>
    <col min="10750" max="10750" width="4.375" style="19" customWidth="1"/>
    <col min="10751" max="10751" width="5.5" style="19" customWidth="1"/>
    <col min="10752" max="10757" width="10.125" style="19" customWidth="1"/>
    <col min="10758" max="10758" width="12.625" style="19" customWidth="1"/>
    <col min="10759" max="10759" width="1.375" style="19" customWidth="1"/>
    <col min="10760" max="11004" width="9" style="19"/>
    <col min="11005" max="11005" width="5.625" style="19" customWidth="1"/>
    <col min="11006" max="11006" width="4.375" style="19" customWidth="1"/>
    <col min="11007" max="11007" width="5.5" style="19" customWidth="1"/>
    <col min="11008" max="11013" width="10.125" style="19" customWidth="1"/>
    <col min="11014" max="11014" width="12.625" style="19" customWidth="1"/>
    <col min="11015" max="11015" width="1.375" style="19" customWidth="1"/>
    <col min="11016" max="11260" width="9" style="19"/>
    <col min="11261" max="11261" width="5.625" style="19" customWidth="1"/>
    <col min="11262" max="11262" width="4.375" style="19" customWidth="1"/>
    <col min="11263" max="11263" width="5.5" style="19" customWidth="1"/>
    <col min="11264" max="11269" width="10.125" style="19" customWidth="1"/>
    <col min="11270" max="11270" width="12.625" style="19" customWidth="1"/>
    <col min="11271" max="11271" width="1.375" style="19" customWidth="1"/>
    <col min="11272" max="11516" width="9" style="19"/>
    <col min="11517" max="11517" width="5.625" style="19" customWidth="1"/>
    <col min="11518" max="11518" width="4.375" style="19" customWidth="1"/>
    <col min="11519" max="11519" width="5.5" style="19" customWidth="1"/>
    <col min="11520" max="11525" width="10.125" style="19" customWidth="1"/>
    <col min="11526" max="11526" width="12.625" style="19" customWidth="1"/>
    <col min="11527" max="11527" width="1.375" style="19" customWidth="1"/>
    <col min="11528" max="11772" width="9" style="19"/>
    <col min="11773" max="11773" width="5.625" style="19" customWidth="1"/>
    <col min="11774" max="11774" width="4.375" style="19" customWidth="1"/>
    <col min="11775" max="11775" width="5.5" style="19" customWidth="1"/>
    <col min="11776" max="11781" width="10.125" style="19" customWidth="1"/>
    <col min="11782" max="11782" width="12.625" style="19" customWidth="1"/>
    <col min="11783" max="11783" width="1.375" style="19" customWidth="1"/>
    <col min="11784" max="12028" width="9" style="19"/>
    <col min="12029" max="12029" width="5.625" style="19" customWidth="1"/>
    <col min="12030" max="12030" width="4.375" style="19" customWidth="1"/>
    <col min="12031" max="12031" width="5.5" style="19" customWidth="1"/>
    <col min="12032" max="12037" width="10.125" style="19" customWidth="1"/>
    <col min="12038" max="12038" width="12.625" style="19" customWidth="1"/>
    <col min="12039" max="12039" width="1.375" style="19" customWidth="1"/>
    <col min="12040" max="12284" width="9" style="19"/>
    <col min="12285" max="12285" width="5.625" style="19" customWidth="1"/>
    <col min="12286" max="12286" width="4.375" style="19" customWidth="1"/>
    <col min="12287" max="12287" width="5.5" style="19" customWidth="1"/>
    <col min="12288" max="12293" width="10.125" style="19" customWidth="1"/>
    <col min="12294" max="12294" width="12.625" style="19" customWidth="1"/>
    <col min="12295" max="12295" width="1.375" style="19" customWidth="1"/>
    <col min="12296" max="12540" width="9" style="19"/>
    <col min="12541" max="12541" width="5.625" style="19" customWidth="1"/>
    <col min="12542" max="12542" width="4.375" style="19" customWidth="1"/>
    <col min="12543" max="12543" width="5.5" style="19" customWidth="1"/>
    <col min="12544" max="12549" width="10.125" style="19" customWidth="1"/>
    <col min="12550" max="12550" width="12.625" style="19" customWidth="1"/>
    <col min="12551" max="12551" width="1.375" style="19" customWidth="1"/>
    <col min="12552" max="12796" width="9" style="19"/>
    <col min="12797" max="12797" width="5.625" style="19" customWidth="1"/>
    <col min="12798" max="12798" width="4.375" style="19" customWidth="1"/>
    <col min="12799" max="12799" width="5.5" style="19" customWidth="1"/>
    <col min="12800" max="12805" width="10.125" style="19" customWidth="1"/>
    <col min="12806" max="12806" width="12.625" style="19" customWidth="1"/>
    <col min="12807" max="12807" width="1.375" style="19" customWidth="1"/>
    <col min="12808" max="13052" width="9" style="19"/>
    <col min="13053" max="13053" width="5.625" style="19" customWidth="1"/>
    <col min="13054" max="13054" width="4.375" style="19" customWidth="1"/>
    <col min="13055" max="13055" width="5.5" style="19" customWidth="1"/>
    <col min="13056" max="13061" width="10.125" style="19" customWidth="1"/>
    <col min="13062" max="13062" width="12.625" style="19" customWidth="1"/>
    <col min="13063" max="13063" width="1.375" style="19" customWidth="1"/>
    <col min="13064" max="13308" width="9" style="19"/>
    <col min="13309" max="13309" width="5.625" style="19" customWidth="1"/>
    <col min="13310" max="13310" width="4.375" style="19" customWidth="1"/>
    <col min="13311" max="13311" width="5.5" style="19" customWidth="1"/>
    <col min="13312" max="13317" width="10.125" style="19" customWidth="1"/>
    <col min="13318" max="13318" width="12.625" style="19" customWidth="1"/>
    <col min="13319" max="13319" width="1.375" style="19" customWidth="1"/>
    <col min="13320" max="13564" width="9" style="19"/>
    <col min="13565" max="13565" width="5.625" style="19" customWidth="1"/>
    <col min="13566" max="13566" width="4.375" style="19" customWidth="1"/>
    <col min="13567" max="13567" width="5.5" style="19" customWidth="1"/>
    <col min="13568" max="13573" width="10.125" style="19" customWidth="1"/>
    <col min="13574" max="13574" width="12.625" style="19" customWidth="1"/>
    <col min="13575" max="13575" width="1.375" style="19" customWidth="1"/>
    <col min="13576" max="13820" width="9" style="19"/>
    <col min="13821" max="13821" width="5.625" style="19" customWidth="1"/>
    <col min="13822" max="13822" width="4.375" style="19" customWidth="1"/>
    <col min="13823" max="13823" width="5.5" style="19" customWidth="1"/>
    <col min="13824" max="13829" width="10.125" style="19" customWidth="1"/>
    <col min="13830" max="13830" width="12.625" style="19" customWidth="1"/>
    <col min="13831" max="13831" width="1.375" style="19" customWidth="1"/>
    <col min="13832" max="14076" width="9" style="19"/>
    <col min="14077" max="14077" width="5.625" style="19" customWidth="1"/>
    <col min="14078" max="14078" width="4.375" style="19" customWidth="1"/>
    <col min="14079" max="14079" width="5.5" style="19" customWidth="1"/>
    <col min="14080" max="14085" width="10.125" style="19" customWidth="1"/>
    <col min="14086" max="14086" width="12.625" style="19" customWidth="1"/>
    <col min="14087" max="14087" width="1.375" style="19" customWidth="1"/>
    <col min="14088" max="14332" width="9" style="19"/>
    <col min="14333" max="14333" width="5.625" style="19" customWidth="1"/>
    <col min="14334" max="14334" width="4.375" style="19" customWidth="1"/>
    <col min="14335" max="14335" width="5.5" style="19" customWidth="1"/>
    <col min="14336" max="14341" width="10.125" style="19" customWidth="1"/>
    <col min="14342" max="14342" width="12.625" style="19" customWidth="1"/>
    <col min="14343" max="14343" width="1.375" style="19" customWidth="1"/>
    <col min="14344" max="14588" width="9" style="19"/>
    <col min="14589" max="14589" width="5.625" style="19" customWidth="1"/>
    <col min="14590" max="14590" width="4.375" style="19" customWidth="1"/>
    <col min="14591" max="14591" width="5.5" style="19" customWidth="1"/>
    <col min="14592" max="14597" width="10.125" style="19" customWidth="1"/>
    <col min="14598" max="14598" width="12.625" style="19" customWidth="1"/>
    <col min="14599" max="14599" width="1.375" style="19" customWidth="1"/>
    <col min="14600" max="14844" width="9" style="19"/>
    <col min="14845" max="14845" width="5.625" style="19" customWidth="1"/>
    <col min="14846" max="14846" width="4.375" style="19" customWidth="1"/>
    <col min="14847" max="14847" width="5.5" style="19" customWidth="1"/>
    <col min="14848" max="14853" width="10.125" style="19" customWidth="1"/>
    <col min="14854" max="14854" width="12.625" style="19" customWidth="1"/>
    <col min="14855" max="14855" width="1.375" style="19" customWidth="1"/>
    <col min="14856" max="15100" width="9" style="19"/>
    <col min="15101" max="15101" width="5.625" style="19" customWidth="1"/>
    <col min="15102" max="15102" width="4.375" style="19" customWidth="1"/>
    <col min="15103" max="15103" width="5.5" style="19" customWidth="1"/>
    <col min="15104" max="15109" width="10.125" style="19" customWidth="1"/>
    <col min="15110" max="15110" width="12.625" style="19" customWidth="1"/>
    <col min="15111" max="15111" width="1.375" style="19" customWidth="1"/>
    <col min="15112" max="15356" width="9" style="19"/>
    <col min="15357" max="15357" width="5.625" style="19" customWidth="1"/>
    <col min="15358" max="15358" width="4.375" style="19" customWidth="1"/>
    <col min="15359" max="15359" width="5.5" style="19" customWidth="1"/>
    <col min="15360" max="15365" width="10.125" style="19" customWidth="1"/>
    <col min="15366" max="15366" width="12.625" style="19" customWidth="1"/>
    <col min="15367" max="15367" width="1.375" style="19" customWidth="1"/>
    <col min="15368" max="15612" width="9" style="19"/>
    <col min="15613" max="15613" width="5.625" style="19" customWidth="1"/>
    <col min="15614" max="15614" width="4.375" style="19" customWidth="1"/>
    <col min="15615" max="15615" width="5.5" style="19" customWidth="1"/>
    <col min="15616" max="15621" width="10.125" style="19" customWidth="1"/>
    <col min="15622" max="15622" width="12.625" style="19" customWidth="1"/>
    <col min="15623" max="15623" width="1.375" style="19" customWidth="1"/>
    <col min="15624" max="15868" width="9" style="19"/>
    <col min="15869" max="15869" width="5.625" style="19" customWidth="1"/>
    <col min="15870" max="15870" width="4.375" style="19" customWidth="1"/>
    <col min="15871" max="15871" width="5.5" style="19" customWidth="1"/>
    <col min="15872" max="15877" width="10.125" style="19" customWidth="1"/>
    <col min="15878" max="15878" width="12.625" style="19" customWidth="1"/>
    <col min="15879" max="15879" width="1.375" style="19" customWidth="1"/>
    <col min="15880" max="16124" width="9" style="19"/>
    <col min="16125" max="16125" width="5.625" style="19" customWidth="1"/>
    <col min="16126" max="16126" width="4.375" style="19" customWidth="1"/>
    <col min="16127" max="16127" width="5.5" style="19" customWidth="1"/>
    <col min="16128" max="16133" width="10.125" style="19" customWidth="1"/>
    <col min="16134" max="16134" width="12.625" style="19" customWidth="1"/>
    <col min="16135" max="16135" width="1.375" style="19" customWidth="1"/>
    <col min="16136" max="16384" width="9" style="19"/>
  </cols>
  <sheetData>
    <row r="1" spans="1:24" ht="19.5" customHeight="1" thickBot="1">
      <c r="H1" s="20" t="s">
        <v>89</v>
      </c>
      <c r="I1" s="21" t="str">
        <f>概要と通り!D2</f>
        <v>○○邸</v>
      </c>
    </row>
    <row r="2" spans="1:24" ht="21.75" customHeight="1" thickTop="1" thickBot="1">
      <c r="A2" s="4" t="str">
        <f>IF(AND(G10&lt;&gt;0,L2=1),"必要耐力を「精算法」により算出した場合　　《2階建・軽い建物用》",IF(AND(G10&lt;&gt;0,L2=2),"必要耐力を「精算法」により算出した場合　　《2階建・重い建物用》",IF(AND(G10&lt;&gt;0,L2=3),"必要耐力を「精算法」により算出した場合　　《2階建・非常に重い建物用》",IF(AND(G10=0,L2=1),"必要耐力を「精算法」により算出した場合　　《平屋建・軽い建物用》",IF(AND(G10=0,L2=2),"必要耐力を「精算法」により算出した場合　　《平屋建・重い建物用》",IF(AND(G10=0,L2=3),"必要耐力を「精算法」により算出した場合　　《平屋建・非常に重い建物用》"))))))</f>
        <v>必要耐力を「精算法」により算出した場合　　《平屋建・重い建物用》</v>
      </c>
      <c r="I2" s="22" t="str">
        <f>IF(概要と通り!I2=1,"【診断】","【耐震補強】")</f>
        <v>【診断】</v>
      </c>
      <c r="L2" s="132">
        <f>概要と通り!D6</f>
        <v>2</v>
      </c>
      <c r="M2" s="19" t="s">
        <v>243</v>
      </c>
    </row>
    <row r="3" spans="1:24" ht="12.75" thickTop="1">
      <c r="C3" s="19" t="s">
        <v>90</v>
      </c>
      <c r="I3" s="131"/>
    </row>
    <row r="4" spans="1:24">
      <c r="A4" s="19" t="s">
        <v>91</v>
      </c>
      <c r="L4" s="23"/>
      <c r="R4" s="18"/>
      <c r="S4" s="18"/>
      <c r="T4" s="18"/>
      <c r="U4" s="18"/>
      <c r="V4" s="18"/>
      <c r="W4" s="18"/>
      <c r="X4" s="18"/>
    </row>
    <row r="5" spans="1:24">
      <c r="R5" s="18"/>
      <c r="S5" s="18"/>
      <c r="T5" s="18"/>
      <c r="U5" s="18"/>
      <c r="V5" s="18"/>
      <c r="W5" s="18"/>
      <c r="X5" s="18"/>
    </row>
    <row r="6" spans="1:24">
      <c r="A6" s="24" t="s">
        <v>92</v>
      </c>
      <c r="B6" s="19" t="s">
        <v>182</v>
      </c>
      <c r="R6" s="18"/>
      <c r="S6" s="18"/>
      <c r="T6" s="18"/>
      <c r="U6" s="18"/>
      <c r="V6" s="18"/>
      <c r="W6" s="18"/>
      <c r="X6" s="18"/>
    </row>
    <row r="7" spans="1:24">
      <c r="C7" s="19" t="str">
        <f>IF(L2=1,"（２階建・軽い建物 の場合）",IF(L2=2,"（２階建・重い建物 の場合）","（２階建・非常に重たい建物 の場合）"))</f>
        <v>（２階建・重い建物 の場合）</v>
      </c>
      <c r="G7" s="24"/>
      <c r="I7" s="24" t="str">
        <f>IF(G10=0,"",IF(L2=1,"2階　　　Qy2　＝　0.28　ｘ　ＱKｆｌ2　Ｘ　Ｚ",IF(L2=2,"2階      Qy2　＝　0.40　ｘ　ＱKｆｌ2　Ｘ　Ｚ","2階      Qy2　＝　0.64　ｘ　ＱKｆｌ2　Ｘ　Ｚ")))</f>
        <v/>
      </c>
      <c r="R7" s="18"/>
      <c r="S7" s="18"/>
      <c r="T7" s="18"/>
      <c r="U7" s="18"/>
      <c r="V7" s="18"/>
      <c r="W7" s="18"/>
      <c r="X7" s="18"/>
    </row>
    <row r="8" spans="1:24">
      <c r="G8" s="24"/>
      <c r="I8" s="24" t="str">
        <f>IF(AND(G10&lt;&gt;0,L2=1),"1階　　　Qy1　＝　0.72　ｘ　ＱKｆｌ1　Ｘ　Ｚ",IF(AND(G10&lt;&gt;0,L2=2),"1階      Qy1　＝　0.92　ｘ　ＱKｆｌ1　Ｘ　Ｚ",IF(AND(G10&lt;&gt;0,L2=3),"1階      Qy1　＝　1.22　ｘ　ＱKｆｌ1　Ｘ　Ｚ",IF(AND(G10=0,L2=1),"1階　　　Qy1　＝　0.28　Ｘ　Ｚ",IF(AND(G10=0,L2=2),"1階      Qy1　＝　0.40　Ｘ　Ｚ",IF(AND(G10=0,L2=3),"1階      Qy1　＝　0.64　Ｘ　Ｚ",))))))</f>
        <v>1階      Qy1　＝　0.40　Ｘ　Ｚ</v>
      </c>
      <c r="R8" s="18"/>
      <c r="S8" s="18"/>
      <c r="T8" s="18"/>
      <c r="U8" s="18"/>
      <c r="V8" s="18"/>
      <c r="W8" s="18"/>
      <c r="X8" s="18"/>
    </row>
    <row r="9" spans="1:24">
      <c r="R9" s="18"/>
      <c r="S9" s="18"/>
      <c r="T9" s="18"/>
      <c r="U9" s="18"/>
      <c r="V9" s="18"/>
      <c r="W9" s="18"/>
      <c r="X9" s="18"/>
    </row>
    <row r="10" spans="1:24" ht="13.5">
      <c r="B10" s="19" t="s">
        <v>183</v>
      </c>
      <c r="C10" s="19" t="s">
        <v>95</v>
      </c>
      <c r="G10" s="124">
        <f>概要と通り!D18</f>
        <v>0</v>
      </c>
      <c r="H10" s="30" t="s">
        <v>242</v>
      </c>
      <c r="I10" s="25">
        <f>IF(G10=0,0,IF(G10/G11&lt;0.1,0.1,G10/G11))</f>
        <v>0</v>
      </c>
      <c r="R10" s="18"/>
      <c r="S10" s="18"/>
      <c r="T10" s="18"/>
      <c r="U10" s="18"/>
      <c r="V10" s="18"/>
      <c r="W10" s="18"/>
      <c r="X10" s="18"/>
    </row>
    <row r="11" spans="1:24">
      <c r="B11" s="19" t="s">
        <v>184</v>
      </c>
      <c r="C11" s="19" t="s">
        <v>96</v>
      </c>
      <c r="G11" s="124">
        <f>概要と通り!D19</f>
        <v>0</v>
      </c>
      <c r="H11" s="30"/>
      <c r="R11" s="18"/>
      <c r="S11" s="18"/>
      <c r="T11" s="18"/>
      <c r="U11" s="18"/>
      <c r="V11" s="18"/>
      <c r="W11" s="18"/>
      <c r="X11" s="18"/>
    </row>
    <row r="12" spans="1:24" ht="13.5">
      <c r="B12" s="19" t="s">
        <v>97</v>
      </c>
      <c r="C12" s="19" t="s">
        <v>98</v>
      </c>
      <c r="G12" s="124">
        <f>概要と通り!L12</f>
        <v>0.26</v>
      </c>
      <c r="H12" s="30" t="s">
        <v>240</v>
      </c>
      <c r="I12" s="25">
        <f>IF(G10=0,0,IF(L2&lt;=2,0.4+0.6*I10,0.53+0.47*I10))</f>
        <v>0</v>
      </c>
      <c r="Q12" s="242"/>
      <c r="R12" s="242"/>
      <c r="S12" s="54" t="s">
        <v>31</v>
      </c>
      <c r="T12" s="54" t="s">
        <v>32</v>
      </c>
      <c r="U12" s="234" t="s">
        <v>33</v>
      </c>
      <c r="V12" s="235"/>
      <c r="W12" s="54" t="s">
        <v>34</v>
      </c>
      <c r="X12" s="54" t="s">
        <v>35</v>
      </c>
    </row>
    <row r="13" spans="1:24" ht="13.5">
      <c r="B13" s="19" t="s">
        <v>99</v>
      </c>
      <c r="C13" s="19" t="s">
        <v>100</v>
      </c>
      <c r="G13" s="124">
        <f>概要と通り!D7</f>
        <v>1</v>
      </c>
      <c r="H13" s="30" t="s">
        <v>241</v>
      </c>
      <c r="I13" s="25">
        <f>IF(G10=0,0,IF(G11=0,0,IF(L2&lt;=2,1.3+0.07/I10,1.06+0.15/I10)))</f>
        <v>0</v>
      </c>
      <c r="Q13" s="212">
        <v>1</v>
      </c>
      <c r="R13" s="212"/>
      <c r="S13" s="236">
        <v>1</v>
      </c>
      <c r="T13" s="236" t="s">
        <v>193</v>
      </c>
      <c r="U13" s="239" t="s">
        <v>37</v>
      </c>
      <c r="V13" s="239"/>
      <c r="W13" s="54" t="s">
        <v>36</v>
      </c>
      <c r="X13" s="55">
        <v>0.45</v>
      </c>
    </row>
    <row r="14" spans="1:24">
      <c r="B14" s="19" t="s">
        <v>101</v>
      </c>
      <c r="C14" s="19" t="s">
        <v>102</v>
      </c>
      <c r="G14" s="124">
        <f>概要と通り!D8</f>
        <v>1</v>
      </c>
      <c r="H14" s="30"/>
      <c r="Q14" s="212" t="s">
        <v>29</v>
      </c>
      <c r="R14" s="212"/>
      <c r="S14" s="237"/>
      <c r="T14" s="237"/>
      <c r="U14" s="239" t="s">
        <v>39</v>
      </c>
      <c r="V14" s="239"/>
      <c r="W14" s="54" t="s">
        <v>40</v>
      </c>
      <c r="X14" s="55">
        <v>0.42499999999999999</v>
      </c>
    </row>
    <row r="15" spans="1:24">
      <c r="B15" s="19" t="s">
        <v>103</v>
      </c>
      <c r="C15" s="19" t="s">
        <v>104</v>
      </c>
      <c r="G15" s="124">
        <f>概要と通り!D9</f>
        <v>1</v>
      </c>
      <c r="H15" s="102" t="s">
        <v>185</v>
      </c>
      <c r="I15" s="26">
        <f>ROUND(IF(L2=1,0.28*I13*G13,IF(L2=2,0.4*I13*G13,0.64*I13*G13)),2)</f>
        <v>0</v>
      </c>
      <c r="Q15" s="212" t="s">
        <v>30</v>
      </c>
      <c r="R15" s="212"/>
      <c r="S15" s="238"/>
      <c r="T15" s="238"/>
      <c r="U15" s="239" t="s">
        <v>38</v>
      </c>
      <c r="V15" s="239"/>
      <c r="W15" s="54" t="s">
        <v>41</v>
      </c>
      <c r="X15" s="55">
        <v>0.4</v>
      </c>
    </row>
    <row r="16" spans="1:24">
      <c r="B16" s="19" t="s">
        <v>105</v>
      </c>
      <c r="C16" s="19" t="s">
        <v>106</v>
      </c>
      <c r="G16" s="124">
        <f>概要と通り!D10</f>
        <v>1</v>
      </c>
      <c r="H16" s="102" t="s">
        <v>186</v>
      </c>
      <c r="I16" s="26">
        <f>IF(G10&lt;&gt;0,ROUND(IF(L2=1,0.72*I12*G13,IF(L2=2,0.92*I12*G13,1.22*I12*G13)),2),ROUND(IF(L2=1,0.28*G13,IF(L2=2,0.4*G13,0.64*G13)),2))</f>
        <v>0.4</v>
      </c>
      <c r="R16" s="18"/>
      <c r="S16" s="18"/>
      <c r="T16" s="18"/>
      <c r="U16" s="18"/>
      <c r="V16" s="18"/>
      <c r="W16" s="18"/>
      <c r="X16" s="18"/>
    </row>
    <row r="17" spans="1:24">
      <c r="B17" s="19" t="s">
        <v>107</v>
      </c>
      <c r="C17" s="19" t="s">
        <v>108</v>
      </c>
      <c r="G17" s="124">
        <f>概要と通り!D11</f>
        <v>0</v>
      </c>
      <c r="H17" s="102"/>
      <c r="I17" s="27"/>
      <c r="R17" s="18"/>
      <c r="S17" s="18"/>
      <c r="T17" s="18"/>
      <c r="U17" s="18"/>
      <c r="V17" s="18"/>
      <c r="W17" s="18"/>
      <c r="X17" s="18"/>
    </row>
    <row r="18" spans="1:24">
      <c r="E18" s="51" t="s">
        <v>109</v>
      </c>
      <c r="G18" s="51" t="s">
        <v>110</v>
      </c>
      <c r="H18" s="30"/>
      <c r="I18" s="28"/>
      <c r="R18" s="18"/>
      <c r="S18" s="18"/>
      <c r="T18" s="18"/>
      <c r="U18" s="18"/>
      <c r="V18" s="18"/>
      <c r="W18" s="18"/>
      <c r="X18" s="18"/>
    </row>
    <row r="19" spans="1:24">
      <c r="E19" s="51"/>
      <c r="G19" s="51"/>
      <c r="H19" s="30"/>
      <c r="I19" s="28"/>
      <c r="R19" s="18"/>
      <c r="S19" s="18"/>
      <c r="T19" s="18"/>
      <c r="U19" s="18"/>
      <c r="V19" s="18"/>
      <c r="W19" s="18"/>
      <c r="X19" s="18"/>
    </row>
    <row r="20" spans="1:24">
      <c r="A20" s="24" t="s">
        <v>111</v>
      </c>
      <c r="B20" s="19" t="s">
        <v>187</v>
      </c>
      <c r="H20" s="30"/>
      <c r="I20" s="28"/>
      <c r="R20" s="18"/>
      <c r="S20" s="18"/>
      <c r="T20" s="18"/>
      <c r="U20" s="18"/>
      <c r="V20" s="18"/>
      <c r="W20" s="18"/>
      <c r="X20" s="18"/>
    </row>
    <row r="21" spans="1:24">
      <c r="H21" s="30"/>
      <c r="I21" s="28"/>
      <c r="Q21" s="53" t="s">
        <v>198</v>
      </c>
      <c r="R21" s="7" t="s">
        <v>51</v>
      </c>
      <c r="S21" s="142">
        <f>H41</f>
        <v>0</v>
      </c>
      <c r="T21" s="54">
        <f>IF(L27=1,MAX(S23:W23),IF(L27=2,MAX(S24:W24),MAX(S25:W25)))</f>
        <v>1</v>
      </c>
      <c r="U21" s="58"/>
      <c r="V21" s="59"/>
      <c r="W21" s="60"/>
      <c r="X21" s="18"/>
    </row>
    <row r="22" spans="1:24">
      <c r="B22" s="19" t="s">
        <v>93</v>
      </c>
      <c r="C22" s="19" t="s">
        <v>112</v>
      </c>
      <c r="R22" s="7"/>
      <c r="S22" s="54" t="s">
        <v>31</v>
      </c>
      <c r="T22" s="54" t="s">
        <v>32</v>
      </c>
      <c r="U22" s="54" t="s">
        <v>33</v>
      </c>
      <c r="V22" s="54" t="s">
        <v>34</v>
      </c>
      <c r="W22" s="54" t="s">
        <v>35</v>
      </c>
      <c r="X22" s="18"/>
    </row>
    <row r="23" spans="1:24">
      <c r="C23" s="19" t="str">
        <f>CONCATENATE("　　=",TEXT(G10,"0.00"),"×（",TEXT(I15,"0.00"),"＋",TEXT(G12,"0.00"),"）×",TEXT(G13,"0.00"),"×",TEXT(G14,"0.00"),"×",TEXT(G15,"0.00"),"×",TEXT(G16,"0.00"),"＝",TEXT(I23,"0.00")," KＮ")</f>
        <v>　　=0.00×（0.00＋0.26）×1.00×1.00×1.00×1.00＝0.00 KＮ</v>
      </c>
      <c r="H23" s="102" t="s">
        <v>188</v>
      </c>
      <c r="I23" s="26">
        <f>G10*(I15+G12)*G13*G14*G15*G16</f>
        <v>0</v>
      </c>
      <c r="R23" s="7" t="s">
        <v>52</v>
      </c>
      <c r="S23" s="54">
        <f>IF(S21&lt;0.15,1,0)</f>
        <v>1</v>
      </c>
      <c r="T23" s="54">
        <f>IF(AND(S21&gt;=0.15,S21&lt;0.3),1/(3.33*S21+0.5),0)</f>
        <v>0</v>
      </c>
      <c r="U23" s="54">
        <f>IF(AND(S21&gt;=0.3,S21&lt;0.45),(3.3-S21)/(3*(3.33*S21+0.5)),0)</f>
        <v>0</v>
      </c>
      <c r="V23" s="54">
        <f>IF(AND(S21&gt;=0.45,S21&lt;0.6),(3.3-S21)/6,0)</f>
        <v>0</v>
      </c>
      <c r="W23" s="54">
        <f>IF(AND(S21&gt;=0.6),0.45,0)</f>
        <v>0</v>
      </c>
      <c r="X23" s="18"/>
    </row>
    <row r="24" spans="1:24">
      <c r="B24" s="19" t="s">
        <v>94</v>
      </c>
      <c r="C24" s="19" t="s">
        <v>113</v>
      </c>
      <c r="R24" s="7" t="s">
        <v>53</v>
      </c>
      <c r="S24" s="54">
        <f>IF(S21&lt;0.15,1,0)</f>
        <v>1</v>
      </c>
      <c r="T24" s="54">
        <f>IF(AND(S21&gt;=0.15,S21&lt;0.3),1/(3.33*S21+0.5),0)</f>
        <v>0</v>
      </c>
      <c r="U24" s="54">
        <f>IF(AND(S21&gt;=0.3,S21&lt;0.45),(2.3-S21)/(2*(3.33*S21+0.5)),0)</f>
        <v>0</v>
      </c>
      <c r="V24" s="54">
        <f>IF(AND(S21&gt;=0.45,S21&lt;0.6),(2.3-S21)/4,0)</f>
        <v>0</v>
      </c>
      <c r="W24" s="54">
        <f>IF(AND(S21&gt;=0.6),0.425,0)</f>
        <v>0</v>
      </c>
      <c r="X24" s="18"/>
    </row>
    <row r="25" spans="1:24">
      <c r="C25" s="19" t="str">
        <f>CONCATENATE("　　=",TEXT(G11,"0.00"),"×（",TEXT(I16,"0.00"),"＋",TEXT(G12,"0.00"),"）×",TEXT(G13,"0.00"),"×",TEXT(G14,"0.00"),"×",TEXT(G15,"0.00"),"×",TEXT(G16,"0.00"),"×",TEXT(G17,"0.00"),"＝",TEXT(I25,"0.00")," KＮ")</f>
        <v>　　=0.00×（0.40＋0.26）×1.00×1.00×1.00×1.00×0.00＝0.00 KＮ</v>
      </c>
      <c r="H25" s="102" t="s">
        <v>189</v>
      </c>
      <c r="I25" s="26">
        <f>G11*(I16+G12)*G13*G14*G15*G16*G17</f>
        <v>0</v>
      </c>
      <c r="R25" s="7" t="s">
        <v>54</v>
      </c>
      <c r="S25" s="54">
        <f>IF(S21&lt;0.15,1,0)</f>
        <v>1</v>
      </c>
      <c r="T25" s="54">
        <f>IF(AND(S21&gt;=0.15,S21&lt;0.3),1/(3.33*S21+0.5),0)</f>
        <v>0</v>
      </c>
      <c r="U25" s="54">
        <f>IF(AND(S21&gt;=0.3,S21&lt;0.45),(3.6-2*S21)/(3*(3.33*S21+0.5)),0)</f>
        <v>0</v>
      </c>
      <c r="V25" s="54">
        <f>IF(AND(S21&gt;=0.45,S21&lt;0.6),(3.6-2*S21)/6,0)</f>
        <v>0</v>
      </c>
      <c r="W25" s="54">
        <f>IF(AND(S21&gt;=0.6),0.4,0)</f>
        <v>0</v>
      </c>
      <c r="X25" s="18"/>
    </row>
    <row r="26" spans="1:24" ht="12.75" thickBot="1">
      <c r="A26" s="29"/>
      <c r="B26" s="5"/>
      <c r="D26" s="29"/>
      <c r="R26" s="15"/>
      <c r="S26" s="61"/>
      <c r="T26" s="61"/>
      <c r="U26" s="61"/>
      <c r="V26" s="61"/>
      <c r="W26" s="61"/>
      <c r="X26" s="18"/>
    </row>
    <row r="27" spans="1:24" ht="14.25" customHeight="1" thickTop="1" thickBot="1">
      <c r="A27" s="19" t="s">
        <v>144</v>
      </c>
      <c r="H27" s="30" t="s">
        <v>116</v>
      </c>
      <c r="I27" s="148" t="str">
        <f>IF(L27=1,"（Ⅰ）",IF(L27=2,"（Ⅱ）",IF(L27=3,"（Ⅲ）")))</f>
        <v>（Ⅲ）</v>
      </c>
      <c r="L27" s="160">
        <f>概要と通り!D14</f>
        <v>3</v>
      </c>
      <c r="M27" s="19" t="s">
        <v>117</v>
      </c>
      <c r="Q27" s="53" t="s">
        <v>199</v>
      </c>
      <c r="R27" s="7" t="s">
        <v>51</v>
      </c>
      <c r="S27" s="142">
        <f>H43</f>
        <v>0</v>
      </c>
      <c r="T27" s="54">
        <f>IF(L27=1,MAX(S29:W29),IF(L27=2,MAX(S30:W30),MAX(S31:W31)))</f>
        <v>1</v>
      </c>
      <c r="U27" s="58"/>
      <c r="V27" s="59"/>
      <c r="W27" s="60"/>
    </row>
    <row r="28" spans="1:24" ht="13.5" thickTop="1" thickBot="1">
      <c r="A28" s="29"/>
      <c r="B28" s="5"/>
      <c r="D28" s="29"/>
      <c r="R28" s="7"/>
      <c r="S28" s="54" t="s">
        <v>31</v>
      </c>
      <c r="T28" s="54" t="s">
        <v>32</v>
      </c>
      <c r="U28" s="54" t="s">
        <v>33</v>
      </c>
      <c r="V28" s="54" t="s">
        <v>34</v>
      </c>
      <c r="W28" s="54" t="s">
        <v>35</v>
      </c>
    </row>
    <row r="29" spans="1:24">
      <c r="A29" s="29"/>
      <c r="B29" s="229" t="s">
        <v>20</v>
      </c>
      <c r="C29" s="230"/>
      <c r="D29" s="231"/>
      <c r="E29" s="217" t="s">
        <v>24</v>
      </c>
      <c r="F29" s="217"/>
      <c r="G29" s="217" t="s">
        <v>28</v>
      </c>
      <c r="H29" s="218"/>
      <c r="R29" s="7" t="s">
        <v>21</v>
      </c>
      <c r="S29" s="54">
        <f>IF(S27&lt;0.15,1,0)</f>
        <v>1</v>
      </c>
      <c r="T29" s="54">
        <f>IF(AND(S27&gt;=0.15,S27&lt;0.3),1/(3.33*S27+0.5),0)</f>
        <v>0</v>
      </c>
      <c r="U29" s="54">
        <f>IF(AND(S27&gt;=0.3,S27&lt;0.45),(3.3-S27)/(3*(3.33*S27+0.5)),0)</f>
        <v>0</v>
      </c>
      <c r="V29" s="54">
        <f>IF(AND(S27&gt;=0.45,S27&lt;0.6),(3.3-S27)/6,0)</f>
        <v>0</v>
      </c>
      <c r="W29" s="54">
        <f>IF(AND(S27&gt;=0.6),0.45,0)</f>
        <v>0</v>
      </c>
    </row>
    <row r="30" spans="1:24">
      <c r="B30" s="223" t="s">
        <v>21</v>
      </c>
      <c r="C30" s="224"/>
      <c r="D30" s="225"/>
      <c r="E30" s="219" t="s">
        <v>25</v>
      </c>
      <c r="F30" s="219"/>
      <c r="G30" s="219">
        <v>1</v>
      </c>
      <c r="H30" s="220"/>
      <c r="I30" s="29"/>
      <c r="R30" s="7" t="s">
        <v>22</v>
      </c>
      <c r="S30" s="54">
        <f>IF(S27&lt;0.15,1,0)</f>
        <v>1</v>
      </c>
      <c r="T30" s="54">
        <f>IF(AND(S27&gt;=0.15,S27&lt;0.3),1/(3.33*S27+0.5),0)</f>
        <v>0</v>
      </c>
      <c r="U30" s="54">
        <f>IF(AND(S27&gt;=0.3,S27&lt;0.45),(2.3-S27)/(2*(3.33*S27+0.5)),0)</f>
        <v>0</v>
      </c>
      <c r="V30" s="54">
        <f>IF(AND(S27&gt;=0.45,S27&lt;0.6),(2.3-S27)/4,0)</f>
        <v>0</v>
      </c>
      <c r="W30" s="54">
        <f>IF(AND(S27&gt;=0.6),0.425,0)</f>
        <v>0</v>
      </c>
    </row>
    <row r="31" spans="1:24" ht="13.5" customHeight="1">
      <c r="B31" s="223" t="s">
        <v>22</v>
      </c>
      <c r="C31" s="224"/>
      <c r="D31" s="225"/>
      <c r="E31" s="219" t="s">
        <v>26</v>
      </c>
      <c r="F31" s="219"/>
      <c r="G31" s="219" t="s">
        <v>29</v>
      </c>
      <c r="H31" s="220"/>
      <c r="R31" s="7" t="s">
        <v>23</v>
      </c>
      <c r="S31" s="54">
        <f>IF(S27&lt;0.15,1,0)</f>
        <v>1</v>
      </c>
      <c r="T31" s="54">
        <f>IF(AND(S27&gt;=0.15,S27&lt;0.3),1/(3.33*S27+0.5),0)</f>
        <v>0</v>
      </c>
      <c r="U31" s="54">
        <f>IF(AND(S27&gt;=0.3,S27&lt;0.45),(3.6-2*S27)/(3*(3.33*S27+0.5)),0)</f>
        <v>0</v>
      </c>
      <c r="V31" s="54">
        <f>IF(AND(S27&gt;=0.45,S27&lt;0.6),(3.6-2*S27)/6,0)</f>
        <v>0</v>
      </c>
      <c r="W31" s="54">
        <f>IF(AND(S27&gt;=0.6),0.4,0)</f>
        <v>0</v>
      </c>
    </row>
    <row r="32" spans="1:24" ht="13.5" customHeight="1" thickBot="1">
      <c r="B32" s="226" t="s">
        <v>23</v>
      </c>
      <c r="C32" s="227"/>
      <c r="D32" s="228"/>
      <c r="E32" s="221" t="s">
        <v>27</v>
      </c>
      <c r="F32" s="221"/>
      <c r="G32" s="221" t="s">
        <v>30</v>
      </c>
      <c r="H32" s="222"/>
      <c r="R32" s="57"/>
      <c r="S32" s="62"/>
      <c r="T32" s="62"/>
      <c r="U32" s="62"/>
      <c r="V32" s="62"/>
      <c r="W32" s="62"/>
    </row>
    <row r="33" spans="2:23" ht="13.5" customHeight="1" thickBot="1">
      <c r="C33" s="32"/>
      <c r="D33" s="32"/>
      <c r="E33" s="32"/>
      <c r="F33" s="32"/>
      <c r="G33" s="32"/>
      <c r="H33" s="32"/>
      <c r="Q33" s="53" t="s">
        <v>200</v>
      </c>
      <c r="R33" s="7" t="s">
        <v>51</v>
      </c>
      <c r="S33" s="142">
        <f>H45</f>
        <v>0</v>
      </c>
      <c r="T33" s="54">
        <f>IF(L27=1,MAX(S35:W35),IF(L27=2,MAX(S36:W36),MAX(S37:W37)))</f>
        <v>1</v>
      </c>
      <c r="U33" s="58"/>
      <c r="V33" s="59"/>
      <c r="W33" s="60"/>
    </row>
    <row r="34" spans="2:23" ht="13.5" customHeight="1">
      <c r="B34" s="215"/>
      <c r="C34" s="216"/>
      <c r="D34" s="143" t="s">
        <v>31</v>
      </c>
      <c r="E34" s="143" t="s">
        <v>32</v>
      </c>
      <c r="F34" s="232" t="s">
        <v>33</v>
      </c>
      <c r="G34" s="233"/>
      <c r="H34" s="143" t="s">
        <v>34</v>
      </c>
      <c r="I34" s="144" t="s">
        <v>35</v>
      </c>
      <c r="R34" s="7"/>
      <c r="S34" s="54" t="s">
        <v>31</v>
      </c>
      <c r="T34" s="54" t="s">
        <v>32</v>
      </c>
      <c r="U34" s="54" t="s">
        <v>33</v>
      </c>
      <c r="V34" s="54" t="s">
        <v>34</v>
      </c>
      <c r="W34" s="54" t="s">
        <v>35</v>
      </c>
    </row>
    <row r="35" spans="2:23">
      <c r="B35" s="211">
        <v>1</v>
      </c>
      <c r="C35" s="212"/>
      <c r="D35" s="236">
        <v>1</v>
      </c>
      <c r="E35" s="236" t="s">
        <v>193</v>
      </c>
      <c r="F35" s="239" t="s">
        <v>37</v>
      </c>
      <c r="G35" s="239"/>
      <c r="H35" s="122" t="s">
        <v>36</v>
      </c>
      <c r="I35" s="145">
        <v>0.45</v>
      </c>
      <c r="R35" s="7" t="s">
        <v>21</v>
      </c>
      <c r="S35" s="54">
        <f>IF(S33&lt;0.15,1,0)</f>
        <v>1</v>
      </c>
      <c r="T35" s="54">
        <f>IF(AND(S33&gt;=0.15,S33&lt;0.3),1/(3.33*S33+0.5),0)</f>
        <v>0</v>
      </c>
      <c r="U35" s="54">
        <f>IF(AND(S33&gt;=0.3,S33&lt;0.45),(3.3-S33)/(3*(3.33*S33+0.5)),0)</f>
        <v>0</v>
      </c>
      <c r="V35" s="54">
        <f>IF(AND(S33&gt;=0.45,S33&lt;0.6),(3.3-S33)/6,0)</f>
        <v>0</v>
      </c>
      <c r="W35" s="54">
        <f>IF(AND(S33&gt;=0.6),0.45,0)</f>
        <v>0</v>
      </c>
    </row>
    <row r="36" spans="2:23" ht="22.5" customHeight="1">
      <c r="B36" s="211" t="s">
        <v>29</v>
      </c>
      <c r="C36" s="212"/>
      <c r="D36" s="237"/>
      <c r="E36" s="237"/>
      <c r="F36" s="239" t="s">
        <v>39</v>
      </c>
      <c r="G36" s="239"/>
      <c r="H36" s="122" t="s">
        <v>40</v>
      </c>
      <c r="I36" s="145">
        <v>0.42499999999999999</v>
      </c>
      <c r="R36" s="7" t="s">
        <v>22</v>
      </c>
      <c r="S36" s="54">
        <f>IF(S33&lt;0.15,1,0)</f>
        <v>1</v>
      </c>
      <c r="T36" s="54">
        <f>IF(AND(S33&gt;=0.15,S33&lt;0.3),1/(3.33*S33+0.5),0)</f>
        <v>0</v>
      </c>
      <c r="U36" s="54">
        <f>IF(AND(S33&gt;=0.3,S33&lt;0.45),(2.3-S33)/(2*(3.33*S33+0.5)),0)</f>
        <v>0</v>
      </c>
      <c r="V36" s="54">
        <f>IF(AND(S33&gt;=0.45,S33&lt;0.6),(2.3-S33)/4,0)</f>
        <v>0</v>
      </c>
      <c r="W36" s="54">
        <f>IF(AND(S33&gt;=0.6),0.425,0)</f>
        <v>0</v>
      </c>
    </row>
    <row r="37" spans="2:23" ht="12.75" thickBot="1">
      <c r="B37" s="213" t="s">
        <v>30</v>
      </c>
      <c r="C37" s="214"/>
      <c r="D37" s="248"/>
      <c r="E37" s="248"/>
      <c r="F37" s="249" t="s">
        <v>38</v>
      </c>
      <c r="G37" s="249"/>
      <c r="H37" s="146" t="s">
        <v>41</v>
      </c>
      <c r="I37" s="147">
        <v>0.4</v>
      </c>
      <c r="R37" s="7" t="s">
        <v>23</v>
      </c>
      <c r="S37" s="54">
        <f>IF(S33&lt;0.15,1,0)</f>
        <v>1</v>
      </c>
      <c r="T37" s="54">
        <f>IF(AND(S33&gt;=0.15,S33&lt;0.3),1/(3.33*S33+0.5),0)</f>
        <v>0</v>
      </c>
      <c r="U37" s="54">
        <f>IF(AND(S33&gt;=0.3,S33&lt;0.45),(3.6-2*S33)/(3*(3.33*S33+0.5)),0)</f>
        <v>0</v>
      </c>
      <c r="V37" s="54">
        <f>IF(AND(S33&gt;=0.45,S33&lt;0.6),(3.6-2*S33)/6,0)</f>
        <v>0</v>
      </c>
      <c r="W37" s="54">
        <f>IF(AND(S33&gt;=0.6),0.4,0)</f>
        <v>0</v>
      </c>
    </row>
    <row r="38" spans="2:23" ht="12.75" thickBot="1">
      <c r="R38" s="57"/>
      <c r="S38" s="62"/>
      <c r="T38" s="62"/>
      <c r="U38" s="62"/>
      <c r="V38" s="62"/>
      <c r="W38" s="62"/>
    </row>
    <row r="39" spans="2:23">
      <c r="B39" s="33" t="s">
        <v>114</v>
      </c>
      <c r="C39" s="34" t="s">
        <v>115</v>
      </c>
      <c r="D39" s="34" t="s">
        <v>136</v>
      </c>
      <c r="E39" s="34" t="s">
        <v>137</v>
      </c>
      <c r="F39" s="34" t="s">
        <v>138</v>
      </c>
      <c r="G39" s="56" t="s">
        <v>139</v>
      </c>
      <c r="H39" s="34" t="s">
        <v>140</v>
      </c>
      <c r="I39" s="35" t="s">
        <v>118</v>
      </c>
      <c r="Q39" s="53" t="s">
        <v>201</v>
      </c>
      <c r="R39" s="7" t="s">
        <v>51</v>
      </c>
      <c r="S39" s="142">
        <f>H47</f>
        <v>0</v>
      </c>
      <c r="T39" s="54">
        <f>IF(L27=1,MAX(S41:W41),IF(L27=2,MAX(S42:W42),MAX(S43:W43)))</f>
        <v>1</v>
      </c>
      <c r="U39" s="58"/>
      <c r="V39" s="59"/>
      <c r="W39" s="60"/>
    </row>
    <row r="40" spans="2:23" ht="12.75" thickBot="1">
      <c r="B40" s="37"/>
      <c r="C40" s="38"/>
      <c r="D40" s="38" t="s">
        <v>194</v>
      </c>
      <c r="E40" s="38" t="s">
        <v>195</v>
      </c>
      <c r="F40" s="39" t="s">
        <v>196</v>
      </c>
      <c r="G40" s="40" t="s">
        <v>197</v>
      </c>
      <c r="H40" s="38" t="s">
        <v>146</v>
      </c>
      <c r="I40" s="41" t="s">
        <v>147</v>
      </c>
      <c r="R40" s="7"/>
      <c r="S40" s="54" t="s">
        <v>31</v>
      </c>
      <c r="T40" s="54" t="s">
        <v>32</v>
      </c>
      <c r="U40" s="54" t="s">
        <v>33</v>
      </c>
      <c r="V40" s="54" t="s">
        <v>34</v>
      </c>
      <c r="W40" s="54" t="s">
        <v>35</v>
      </c>
    </row>
    <row r="41" spans="2:23" ht="13.5" customHeight="1">
      <c r="B41" s="199">
        <v>2</v>
      </c>
      <c r="C41" s="210" t="s">
        <v>119</v>
      </c>
      <c r="D41" s="202">
        <f>'剛性率(2F)'!P62</f>
        <v>0</v>
      </c>
      <c r="E41" s="202">
        <f>'剛性率(2F)'!P63</f>
        <v>0</v>
      </c>
      <c r="F41" s="202">
        <f>'剛性率(2F)'!P64</f>
        <v>0</v>
      </c>
      <c r="G41" s="202">
        <f>'剛性率(2F)'!P65</f>
        <v>0</v>
      </c>
      <c r="H41" s="202">
        <f>'剛性率(2F)'!P66</f>
        <v>0</v>
      </c>
      <c r="I41" s="243">
        <f>IF(I23=0,0,ROUND(T21,2))</f>
        <v>0</v>
      </c>
      <c r="K41" s="36"/>
      <c r="R41" s="7" t="s">
        <v>21</v>
      </c>
      <c r="S41" s="54">
        <f>IF(S39&lt;0.15,1,0)</f>
        <v>1</v>
      </c>
      <c r="T41" s="54">
        <f>IF(AND(S39&gt;=0.15,S39&lt;0.3),1/(3.33*S39+0.5),0)</f>
        <v>0</v>
      </c>
      <c r="U41" s="54">
        <f>IF(AND(S39&gt;=0.3,S39&lt;0.45),(3.3-S39)/(3*(3.33*S39+0.5)),0)</f>
        <v>0</v>
      </c>
      <c r="V41" s="54">
        <f>IF(AND(S39&gt;=0.45,S39&lt;0.6),(3.3-S39)/6,0)</f>
        <v>0</v>
      </c>
      <c r="W41" s="54">
        <f>IF(AND(S39&gt;=0.6),0.45,0)</f>
        <v>0</v>
      </c>
    </row>
    <row r="42" spans="2:23" ht="12.75" customHeight="1">
      <c r="B42" s="201"/>
      <c r="C42" s="207"/>
      <c r="D42" s="203"/>
      <c r="E42" s="203"/>
      <c r="F42" s="203"/>
      <c r="G42" s="203"/>
      <c r="H42" s="203"/>
      <c r="I42" s="247"/>
      <c r="K42" s="36"/>
      <c r="R42" s="7" t="s">
        <v>22</v>
      </c>
      <c r="S42" s="54">
        <f>IF(S39&lt;0.15,1,0)</f>
        <v>1</v>
      </c>
      <c r="T42" s="54">
        <f>IF(AND(S39&gt;=0.15,S39&lt;0.3),1/(3.33*S39+0.5),0)</f>
        <v>0</v>
      </c>
      <c r="U42" s="54">
        <f>IF(AND(S39&gt;=0.3,S39&lt;0.45),(2.3-S39)/(2*(3.33*S39+0.5)),0)</f>
        <v>0</v>
      </c>
      <c r="V42" s="54">
        <f>IF(AND(S39&gt;=0.45,S39&lt;0.6),(2.3-S39)/4,0)</f>
        <v>0</v>
      </c>
      <c r="W42" s="54">
        <f>IF(AND(S39&gt;=0.6),0.425,0)</f>
        <v>0</v>
      </c>
    </row>
    <row r="43" spans="2:23">
      <c r="B43" s="201"/>
      <c r="C43" s="208" t="s">
        <v>120</v>
      </c>
      <c r="D43" s="204">
        <f>'剛性率(2F)'!AG62</f>
        <v>0</v>
      </c>
      <c r="E43" s="204">
        <f>'剛性率(2F)'!AG63</f>
        <v>0</v>
      </c>
      <c r="F43" s="204">
        <f>'剛性率(2F)'!AG64</f>
        <v>0</v>
      </c>
      <c r="G43" s="204">
        <f>'剛性率(2F)'!AG65</f>
        <v>0</v>
      </c>
      <c r="H43" s="204">
        <f>'剛性率(2F)'!AG66</f>
        <v>0</v>
      </c>
      <c r="I43" s="245">
        <f>IF(I23=0,0,ROUND(T27,2))</f>
        <v>0</v>
      </c>
      <c r="K43" s="36"/>
      <c r="L43" s="30"/>
      <c r="R43" s="7" t="s">
        <v>23</v>
      </c>
      <c r="S43" s="54">
        <f>IF(S39&lt;0.15,1,0)</f>
        <v>1</v>
      </c>
      <c r="T43" s="54">
        <f>IF(AND(S39&gt;=0.15,S39&lt;0.3),1/(3.33*S39+0.5),0)</f>
        <v>0</v>
      </c>
      <c r="U43" s="54">
        <f>IF(AND(S39&gt;=0.3,S39&lt;0.45),(3.6-2*S39)/(3*(3.33*S39+0.5)),0)</f>
        <v>0</v>
      </c>
      <c r="V43" s="54">
        <f>IF(AND(S39&gt;=0.45,S39&lt;0.6),(3.6-2*S39)/6,0)</f>
        <v>0</v>
      </c>
      <c r="W43" s="54">
        <f>IF(AND(S39&gt;=0.6),0.4,0)</f>
        <v>0</v>
      </c>
    </row>
    <row r="44" spans="2:23" ht="12.75" thickBot="1">
      <c r="B44" s="200"/>
      <c r="C44" s="209"/>
      <c r="D44" s="205"/>
      <c r="E44" s="205"/>
      <c r="F44" s="205"/>
      <c r="G44" s="205"/>
      <c r="H44" s="205"/>
      <c r="I44" s="246"/>
      <c r="K44" s="36"/>
      <c r="L44" s="30"/>
    </row>
    <row r="45" spans="2:23">
      <c r="B45" s="201">
        <v>1</v>
      </c>
      <c r="C45" s="206" t="s">
        <v>121</v>
      </c>
      <c r="D45" s="202">
        <f>'剛性率（1F）'!P62</f>
        <v>0</v>
      </c>
      <c r="E45" s="202">
        <f>'剛性率（1F）'!P63</f>
        <v>0</v>
      </c>
      <c r="F45" s="202">
        <f>'剛性率（1F）'!P64</f>
        <v>0</v>
      </c>
      <c r="G45" s="202">
        <f>'剛性率（1F）'!P65</f>
        <v>0</v>
      </c>
      <c r="H45" s="202">
        <f>'剛性率（1F）'!P66</f>
        <v>0</v>
      </c>
      <c r="I45" s="243">
        <f>ROUND(T33,2)</f>
        <v>1</v>
      </c>
      <c r="K45" s="36"/>
      <c r="L45" s="30"/>
    </row>
    <row r="46" spans="2:23">
      <c r="B46" s="201"/>
      <c r="C46" s="207"/>
      <c r="D46" s="203"/>
      <c r="E46" s="203"/>
      <c r="F46" s="203"/>
      <c r="G46" s="203"/>
      <c r="H46" s="203"/>
      <c r="I46" s="244"/>
      <c r="K46" s="36"/>
      <c r="L46" s="30"/>
    </row>
    <row r="47" spans="2:23">
      <c r="B47" s="201"/>
      <c r="C47" s="208" t="s">
        <v>120</v>
      </c>
      <c r="D47" s="204">
        <f>'剛性率（1F）'!AG62</f>
        <v>0</v>
      </c>
      <c r="E47" s="204">
        <f>'剛性率（1F）'!AG63</f>
        <v>0</v>
      </c>
      <c r="F47" s="204">
        <f>'剛性率（1F）'!AG64</f>
        <v>0</v>
      </c>
      <c r="G47" s="204">
        <f>'剛性率（1F）'!AG65</f>
        <v>0</v>
      </c>
      <c r="H47" s="204">
        <f>'剛性率（1F）'!AG66</f>
        <v>0</v>
      </c>
      <c r="I47" s="245">
        <f>ROUND(T39,2)</f>
        <v>1</v>
      </c>
      <c r="K47" s="36"/>
      <c r="L47" s="30"/>
    </row>
    <row r="48" spans="2:23" ht="12.75" thickBot="1">
      <c r="B48" s="200"/>
      <c r="C48" s="209"/>
      <c r="D48" s="205"/>
      <c r="E48" s="205"/>
      <c r="F48" s="205"/>
      <c r="G48" s="205"/>
      <c r="H48" s="205"/>
      <c r="I48" s="246"/>
      <c r="K48" s="36"/>
      <c r="L48" s="30"/>
    </row>
    <row r="49" spans="1:15">
      <c r="B49" s="31"/>
      <c r="C49" s="42"/>
      <c r="D49" s="42"/>
      <c r="E49" s="42"/>
      <c r="F49" s="27"/>
      <c r="G49" s="43"/>
      <c r="H49" s="43"/>
      <c r="I49" s="27"/>
      <c r="J49" s="43"/>
      <c r="K49" s="36"/>
      <c r="L49" s="30"/>
    </row>
    <row r="50" spans="1:15">
      <c r="A50" s="19" t="s">
        <v>145</v>
      </c>
      <c r="K50" s="36"/>
      <c r="L50" s="30"/>
    </row>
    <row r="51" spans="1:15" ht="12.75" thickBot="1">
      <c r="O51" s="44"/>
    </row>
    <row r="52" spans="1:15" ht="15" customHeight="1">
      <c r="B52" s="33" t="s">
        <v>114</v>
      </c>
      <c r="C52" s="34" t="s">
        <v>115</v>
      </c>
      <c r="D52" s="149" t="s">
        <v>142</v>
      </c>
      <c r="E52" s="34" t="s">
        <v>122</v>
      </c>
      <c r="F52" s="34" t="s">
        <v>123</v>
      </c>
      <c r="G52" s="34" t="s">
        <v>132</v>
      </c>
      <c r="H52" s="34" t="s">
        <v>124</v>
      </c>
      <c r="I52" s="35" t="s">
        <v>125</v>
      </c>
      <c r="J52" s="36"/>
    </row>
    <row r="53" spans="1:15" ht="12.75" thickBot="1">
      <c r="B53" s="37"/>
      <c r="C53" s="38"/>
      <c r="D53" s="39" t="s">
        <v>143</v>
      </c>
      <c r="E53" s="103" t="s">
        <v>130</v>
      </c>
      <c r="F53" s="38" t="s">
        <v>131</v>
      </c>
      <c r="G53" s="103" t="s">
        <v>133</v>
      </c>
      <c r="H53" s="38" t="s">
        <v>134</v>
      </c>
      <c r="I53" s="41" t="s">
        <v>135</v>
      </c>
      <c r="J53" s="36"/>
    </row>
    <row r="54" spans="1:15" ht="22.5" customHeight="1">
      <c r="B54" s="199">
        <v>2</v>
      </c>
      <c r="C54" s="45" t="s">
        <v>126</v>
      </c>
      <c r="D54" s="104">
        <f>'剛性率(2F)'!M60</f>
        <v>0</v>
      </c>
      <c r="E54" s="105">
        <f>I41</f>
        <v>0</v>
      </c>
      <c r="F54" s="106">
        <f>IF(I23=0,0,L56)</f>
        <v>0</v>
      </c>
      <c r="G54" s="107">
        <f>D54*E54*F54</f>
        <v>0</v>
      </c>
      <c r="H54" s="107">
        <f>I23</f>
        <v>0</v>
      </c>
      <c r="I54" s="108">
        <f>IF(H54=0,0,ROUNDDOWN(G54/H54,2))</f>
        <v>0</v>
      </c>
      <c r="K54" s="30"/>
    </row>
    <row r="55" spans="1:15" ht="21.75" customHeight="1" thickBot="1">
      <c r="B55" s="200"/>
      <c r="C55" s="46" t="s">
        <v>120</v>
      </c>
      <c r="D55" s="109">
        <f>'剛性率(2F)'!AD60</f>
        <v>0</v>
      </c>
      <c r="E55" s="110">
        <f>I43</f>
        <v>0</v>
      </c>
      <c r="F55" s="111">
        <f>IF(I23=0,0,L56)</f>
        <v>0</v>
      </c>
      <c r="G55" s="112">
        <f>D55*E55*F55</f>
        <v>0</v>
      </c>
      <c r="H55" s="112">
        <f>I23</f>
        <v>0</v>
      </c>
      <c r="I55" s="113">
        <f>IF(H55=0,0,ROUNDDOWN(G55/H55,2))</f>
        <v>0</v>
      </c>
      <c r="J55" s="36"/>
      <c r="K55" s="30"/>
    </row>
    <row r="56" spans="1:15" ht="21.75" customHeight="1" thickTop="1" thickBot="1">
      <c r="B56" s="201">
        <v>1</v>
      </c>
      <c r="C56" s="47" t="s">
        <v>127</v>
      </c>
      <c r="D56" s="114">
        <f>'剛性率（1F）'!M60</f>
        <v>0</v>
      </c>
      <c r="E56" s="115">
        <f>I45</f>
        <v>1</v>
      </c>
      <c r="F56" s="116">
        <f>L56</f>
        <v>1</v>
      </c>
      <c r="G56" s="107">
        <f>D56*E56*F56</f>
        <v>0</v>
      </c>
      <c r="H56" s="117">
        <f>I25</f>
        <v>0</v>
      </c>
      <c r="I56" s="108">
        <f>IF(H56=0,0,ROUNDDOWN(G56/H56,2))</f>
        <v>0</v>
      </c>
      <c r="J56" s="36"/>
      <c r="L56" s="133">
        <f>概要と通り!I18</f>
        <v>1</v>
      </c>
      <c r="M56" s="19" t="s">
        <v>141</v>
      </c>
    </row>
    <row r="57" spans="1:15" ht="21.75" customHeight="1" thickTop="1" thickBot="1">
      <c r="B57" s="200"/>
      <c r="C57" s="46" t="s">
        <v>120</v>
      </c>
      <c r="D57" s="109">
        <f>'剛性率（1F）'!AD60</f>
        <v>0</v>
      </c>
      <c r="E57" s="110">
        <f>I47</f>
        <v>1</v>
      </c>
      <c r="F57" s="111">
        <f>L56</f>
        <v>1</v>
      </c>
      <c r="G57" s="112">
        <f>D57*E57*F57</f>
        <v>0</v>
      </c>
      <c r="H57" s="112">
        <f>I25</f>
        <v>0</v>
      </c>
      <c r="I57" s="113">
        <f>IF(H57=0,0,ROUNDDOWN(G57/H57,2))</f>
        <v>0</v>
      </c>
      <c r="J57" s="36"/>
      <c r="K57" s="30"/>
    </row>
    <row r="58" spans="1:15" ht="19.5" customHeight="1" thickBot="1">
      <c r="K58" s="30"/>
    </row>
    <row r="59" spans="1:15" ht="23.25" customHeight="1" thickBot="1">
      <c r="B59" s="48" t="s">
        <v>128</v>
      </c>
      <c r="C59" s="49"/>
      <c r="D59" s="49"/>
      <c r="E59" s="49"/>
      <c r="F59" s="49"/>
      <c r="G59" s="50">
        <f>IF(I23=0,MIN(I56:I57),MIN(I54:I57))</f>
        <v>0</v>
      </c>
      <c r="H59" s="240" t="str">
        <f>IF(G59&gt;=1.5,"倒壊しない",IF(AND(G59&gt;=1,G59&lt;1.5),"一応倒壊しない",IF(AND(G59&gt;=0.7,G59&lt;1),"倒壊する可能性がある","倒壊する可能性が高い")))</f>
        <v>倒壊する可能性が高い</v>
      </c>
      <c r="I59" s="241"/>
      <c r="K59" s="30"/>
    </row>
    <row r="60" spans="1:15" ht="27.75" customHeight="1">
      <c r="B60" s="198" t="s">
        <v>129</v>
      </c>
      <c r="C60" s="198"/>
      <c r="D60" s="198"/>
      <c r="E60" s="198"/>
      <c r="F60" s="198"/>
      <c r="G60" s="198"/>
      <c r="H60" s="198"/>
      <c r="I60" s="198"/>
    </row>
    <row r="61" spans="1:15" ht="12" customHeight="1"/>
  </sheetData>
  <sheetProtection password="C93A" sheet="1" objects="1" scenarios="1" formatCells="0"/>
  <mergeCells count="66">
    <mergeCell ref="D35:D37"/>
    <mergeCell ref="E35:E37"/>
    <mergeCell ref="F35:G35"/>
    <mergeCell ref="F37:G37"/>
    <mergeCell ref="F36:G36"/>
    <mergeCell ref="H59:I59"/>
    <mergeCell ref="Q12:R12"/>
    <mergeCell ref="Q13:R13"/>
    <mergeCell ref="Q14:R14"/>
    <mergeCell ref="Q15:R15"/>
    <mergeCell ref="I45:I46"/>
    <mergeCell ref="I47:I48"/>
    <mergeCell ref="I41:I42"/>
    <mergeCell ref="I43:I44"/>
    <mergeCell ref="U12:V12"/>
    <mergeCell ref="S13:S15"/>
    <mergeCell ref="T13:T15"/>
    <mergeCell ref="U13:V13"/>
    <mergeCell ref="U14:V14"/>
    <mergeCell ref="U15:V15"/>
    <mergeCell ref="B34:C34"/>
    <mergeCell ref="E29:F29"/>
    <mergeCell ref="G29:H29"/>
    <mergeCell ref="G30:H30"/>
    <mergeCell ref="G31:H31"/>
    <mergeCell ref="G32:H32"/>
    <mergeCell ref="E30:F30"/>
    <mergeCell ref="E31:F31"/>
    <mergeCell ref="E32:F32"/>
    <mergeCell ref="B31:D31"/>
    <mergeCell ref="B32:D32"/>
    <mergeCell ref="B30:D30"/>
    <mergeCell ref="B29:D29"/>
    <mergeCell ref="F34:G34"/>
    <mergeCell ref="B35:C35"/>
    <mergeCell ref="D45:D46"/>
    <mergeCell ref="E45:E46"/>
    <mergeCell ref="F45:F46"/>
    <mergeCell ref="G45:G46"/>
    <mergeCell ref="D41:D42"/>
    <mergeCell ref="E41:E42"/>
    <mergeCell ref="F41:F42"/>
    <mergeCell ref="D43:D44"/>
    <mergeCell ref="C43:C44"/>
    <mergeCell ref="E43:E44"/>
    <mergeCell ref="F43:F44"/>
    <mergeCell ref="G41:G42"/>
    <mergeCell ref="G43:G44"/>
    <mergeCell ref="B36:C36"/>
    <mergeCell ref="B37:C37"/>
    <mergeCell ref="B60:I60"/>
    <mergeCell ref="B54:B55"/>
    <mergeCell ref="B56:B57"/>
    <mergeCell ref="H41:H42"/>
    <mergeCell ref="H43:H44"/>
    <mergeCell ref="H45:H46"/>
    <mergeCell ref="H47:H48"/>
    <mergeCell ref="B45:B48"/>
    <mergeCell ref="C45:C46"/>
    <mergeCell ref="C47:C48"/>
    <mergeCell ref="D47:D48"/>
    <mergeCell ref="E47:E48"/>
    <mergeCell ref="F47:F48"/>
    <mergeCell ref="G47:G48"/>
    <mergeCell ref="B41:B44"/>
    <mergeCell ref="C41:C42"/>
  </mergeCells>
  <phoneticPr fontId="1"/>
  <pageMargins left="0.78740157480314965" right="0.39370078740157483" top="0.47244094488188981" bottom="0.39370078740157483" header="0.27559055118110237" footer="0.31496062992125984"/>
  <pageSetup paperSize="9" orientation="portrait" blackAndWhite="1" r:id="rId1"/>
  <headerFooter alignWithMargins="0">
    <oddHeader>&amp;L&amp;"ＭＳ 明朝,斜体"&amp;9各階の床面積を考慮した必要耐力の算出法【精算法】Ver1.00　　　P.&amp;P&amp;R&amp;"ＭＳ 明朝,斜体"&amp;9&amp;D   &amp;T</oddHeader>
    <oddFooter>&amp;R&amp;10石川県建築士事務所協会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概要と通り</vt:lpstr>
      <vt:lpstr>重心</vt:lpstr>
      <vt:lpstr>剛性率（1F）</vt:lpstr>
      <vt:lpstr>剛性率(2F)</vt:lpstr>
      <vt:lpstr>精算法シート</vt:lpstr>
      <vt:lpstr>概要と通り!Print_Area</vt:lpstr>
      <vt:lpstr>'剛性率(2F)'!Print_Area</vt:lpstr>
      <vt:lpstr>重心!Print_Area</vt:lpstr>
      <vt:lpstr>精算法シート!Print_Area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</dc:creator>
  <cp:lastModifiedBy>HIDEKI</cp:lastModifiedBy>
  <cp:lastPrinted>2015-10-29T02:06:08Z</cp:lastPrinted>
  <dcterms:created xsi:type="dcterms:W3CDTF">2013-06-24T03:45:51Z</dcterms:created>
  <dcterms:modified xsi:type="dcterms:W3CDTF">2018-03-06T02:38:56Z</dcterms:modified>
</cp:coreProperties>
</file>